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yoffice.accenture.com/personal/benjamin_b_ford_accenture_com/Documents/Desktop/Personal/School Board/New Middle and High School Building/Bond Model/"/>
    </mc:Choice>
  </mc:AlternateContent>
  <xr:revisionPtr revIDLastSave="34" documentId="8_{A13F8557-B644-43C6-8794-9750C05F665A}" xr6:coauthVersionLast="47" xr6:coauthVersionMax="47" xr10:uidLastSave="{BB13469C-D64D-429A-9D46-8DD1650458C8}"/>
  <workbookProtection workbookAlgorithmName="SHA-512" workbookHashValue="VsLG6DEWXMK0EAxhZpeU81SbYojfwhTenXEhYQvKRLjQP2Ya8IUu8HHT4fWYwbMGgYt4dtYQPAKGc21JiXao9A==" workbookSaltValue="Rgk233rEvSeMejLGdIpDuw==" workbookSpinCount="100000" lockStructure="1"/>
  <bookViews>
    <workbookView xWindow="-110" yWindow="-110" windowWidth="19420" windowHeight="10300" xr2:uid="{00000000-000D-0000-FFFF-FFFF00000000}"/>
  </bookViews>
  <sheets>
    <sheet name="Individual Taxpayer Impact" sheetId="24" r:id="rId1"/>
    <sheet name="Graphs" sheetId="23" state="hidden" r:id="rId2"/>
    <sheet name="Property Tax Calc" sheetId="15" state="hidden" r:id="rId3"/>
    <sheet name="Prebate-Rebate" sheetId="25" state="hidden" r:id="rId4"/>
    <sheet name="Enrollment" sheetId="17" state="hidden" r:id="rId5"/>
    <sheet name="Amortization" sheetId="16" state="hidden" r:id="rId6"/>
    <sheet name="OldBuildCosts" sheetId="22" state="hidden" r:id="rId7"/>
    <sheet name="EdSpend" sheetId="18" state="hidden" r:id="rId8"/>
    <sheet name="Home Value" sheetId="19" state="hidden" r:id="rId9"/>
    <sheet name="BaseEnroll" sheetId="21" state="hidden" r:id="rId10"/>
    <sheet name="30 years" sheetId="8" state="hidden" r:id="rId11"/>
    <sheet name="40 mil 30yrs_VT Bond Bank" sheetId="3" state="hidden" r:id="rId12"/>
    <sheet name="40 mil 25yrs_VT Bond Bank" sheetId="2" state="hidden" r:id="rId13"/>
    <sheet name="40 mil 20yrs_VT Bond Bank" sheetId="4" state="hidden" r:id="rId14"/>
    <sheet name="25 years" sheetId="9" state="hidden" r:id="rId15"/>
    <sheet name="20 years" sheetId="10" state="hidden" r:id="rId16"/>
    <sheet name="Bond Examples by Amount" sheetId="14" state="hidden" r:id="rId17"/>
    <sheet name="Summary" sheetId="11" state="hidden" r:id="rId18"/>
    <sheet name=" Cost per Eq Pupil" sheetId="12" state="hidden"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18" l="1"/>
  <c r="N29" i="25"/>
  <c r="M29" i="25"/>
  <c r="L29" i="25"/>
  <c r="K29" i="25"/>
  <c r="J29" i="25"/>
  <c r="K28" i="25"/>
  <c r="J28" i="25"/>
  <c r="K27" i="25"/>
  <c r="J27" i="25"/>
  <c r="L5" i="24"/>
  <c r="F5" i="24"/>
  <c r="Y10" i="24"/>
  <c r="X14" i="24" s="1"/>
  <c r="F4" i="24" s="1"/>
  <c r="E20" i="15"/>
  <c r="B28" i="24"/>
  <c r="E15" i="21"/>
  <c r="L4" i="24" l="1"/>
  <c r="K28" i="15"/>
  <c r="K27" i="15"/>
  <c r="K26" i="15"/>
  <c r="J28" i="15"/>
  <c r="J27" i="15"/>
  <c r="J26" i="15"/>
  <c r="C4" i="17"/>
  <c r="C3" i="17"/>
  <c r="E3" i="15"/>
  <c r="E11" i="15"/>
  <c r="E10" i="15"/>
  <c r="E2" i="15"/>
  <c r="E49" i="15" l="1"/>
  <c r="P15" i="24" s="1"/>
  <c r="E49" i="25"/>
  <c r="E48" i="15"/>
  <c r="E50" i="25" l="1"/>
  <c r="I11" i="19" s="1"/>
  <c r="I50" i="25" s="1"/>
  <c r="E13" i="25"/>
  <c r="E20" i="25" s="1"/>
  <c r="G20" i="25" s="1"/>
  <c r="E12" i="25"/>
  <c r="AH12" i="25" s="1"/>
  <c r="E11" i="25"/>
  <c r="AG11" i="25" s="1"/>
  <c r="E8" i="25"/>
  <c r="E7" i="25"/>
  <c r="E5" i="25"/>
  <c r="E4" i="25"/>
  <c r="E3" i="25"/>
  <c r="E2" i="25"/>
  <c r="E10" i="25" s="1"/>
  <c r="I3" i="19"/>
  <c r="K11" i="19"/>
  <c r="I49" i="25" s="1"/>
  <c r="G11" i="19"/>
  <c r="E11" i="19"/>
  <c r="K9" i="19"/>
  <c r="G9" i="19"/>
  <c r="E9" i="19"/>
  <c r="G49" i="25"/>
  <c r="G100" i="25" s="1"/>
  <c r="I29" i="25"/>
  <c r="I26" i="25"/>
  <c r="G26" i="25"/>
  <c r="K21" i="25"/>
  <c r="J21" i="25"/>
  <c r="K20" i="25"/>
  <c r="J20" i="25"/>
  <c r="K18" i="25"/>
  <c r="J18" i="25"/>
  <c r="I18" i="25"/>
  <c r="I24" i="25" s="1"/>
  <c r="N17" i="25"/>
  <c r="M17" i="25"/>
  <c r="L17" i="25"/>
  <c r="K17" i="25"/>
  <c r="K22" i="25" s="1"/>
  <c r="J17" i="25"/>
  <c r="I17" i="25"/>
  <c r="I22" i="25" s="1"/>
  <c r="I23" i="25" s="1"/>
  <c r="I28" i="25" s="1"/>
  <c r="I44" i="25" s="1"/>
  <c r="AP15" i="25"/>
  <c r="AO12" i="25"/>
  <c r="AM12" i="25"/>
  <c r="AO11" i="25"/>
  <c r="AM11" i="25"/>
  <c r="AO9" i="25"/>
  <c r="AM9" i="25"/>
  <c r="E5" i="15"/>
  <c r="B4" i="16" s="1"/>
  <c r="D17" i="17"/>
  <c r="D19" i="17" s="1"/>
  <c r="D21" i="17" s="1"/>
  <c r="D23" i="17" s="1"/>
  <c r="D25" i="17" s="1"/>
  <c r="D27" i="17" s="1"/>
  <c r="D29" i="17" s="1"/>
  <c r="D31" i="17" s="1"/>
  <c r="D33" i="17" s="1"/>
  <c r="D35" i="17" s="1"/>
  <c r="D37" i="17" s="1"/>
  <c r="D39" i="17" s="1"/>
  <c r="D41" i="17" s="1"/>
  <c r="D43" i="17" s="1"/>
  <c r="D45" i="17" s="1"/>
  <c r="D47" i="17" s="1"/>
  <c r="D49" i="17" s="1"/>
  <c r="D51" i="17" s="1"/>
  <c r="D53" i="17" s="1"/>
  <c r="D55" i="17" s="1"/>
  <c r="D57" i="17" s="1"/>
  <c r="D59" i="17" s="1"/>
  <c r="D61" i="17" s="1"/>
  <c r="D63" i="17" s="1"/>
  <c r="D65" i="17" s="1"/>
  <c r="D67" i="17" s="1"/>
  <c r="D69" i="17" s="1"/>
  <c r="D71" i="17" s="1"/>
  <c r="D73" i="17" s="1"/>
  <c r="D75" i="17" s="1"/>
  <c r="AO21" i="25" s="1"/>
  <c r="C17" i="17"/>
  <c r="C19" i="17" s="1"/>
  <c r="C21" i="17" s="1"/>
  <c r="C23" i="17" s="1"/>
  <c r="C25" i="17" s="1"/>
  <c r="C27" i="17" s="1"/>
  <c r="C29" i="17" s="1"/>
  <c r="C31" i="17" s="1"/>
  <c r="C33" i="17" s="1"/>
  <c r="C35" i="17" s="1"/>
  <c r="C37" i="17" s="1"/>
  <c r="C39" i="17" s="1"/>
  <c r="C41" i="17" s="1"/>
  <c r="C43" i="17" s="1"/>
  <c r="C45" i="17" s="1"/>
  <c r="C47" i="17" s="1"/>
  <c r="C49" i="17" s="1"/>
  <c r="C51" i="17" s="1"/>
  <c r="C53" i="17" s="1"/>
  <c r="C55" i="17" s="1"/>
  <c r="C57" i="17" s="1"/>
  <c r="C59" i="17" s="1"/>
  <c r="C61" i="17" s="1"/>
  <c r="C63" i="17" s="1"/>
  <c r="C65" i="17" s="1"/>
  <c r="C67" i="17" s="1"/>
  <c r="C69" i="17" s="1"/>
  <c r="C71" i="17" s="1"/>
  <c r="C73" i="17" s="1"/>
  <c r="C75" i="17" s="1"/>
  <c r="C77" i="17" s="1"/>
  <c r="C79" i="17" s="1"/>
  <c r="AQ20" i="25" s="1"/>
  <c r="D15" i="17"/>
  <c r="C15" i="17"/>
  <c r="D13" i="17"/>
  <c r="C13" i="17"/>
  <c r="D11" i="17"/>
  <c r="C11" i="17"/>
  <c r="D9" i="17"/>
  <c r="C9" i="17"/>
  <c r="F12" i="16" l="1"/>
  <c r="F16" i="16"/>
  <c r="F10" i="16"/>
  <c r="N15" i="25" s="1"/>
  <c r="F14" i="16"/>
  <c r="E6" i="25"/>
  <c r="I9" i="19"/>
  <c r="G50" i="25"/>
  <c r="G86" i="25" s="1"/>
  <c r="E9" i="25"/>
  <c r="AB9" i="25" s="1"/>
  <c r="P12" i="25"/>
  <c r="T12" i="25"/>
  <c r="AJ12" i="25"/>
  <c r="U12" i="25"/>
  <c r="AF12" i="25"/>
  <c r="S12" i="25"/>
  <c r="G12" i="25"/>
  <c r="AN12" i="25" s="1"/>
  <c r="X12" i="25"/>
  <c r="M12" i="25"/>
  <c r="AC12" i="25"/>
  <c r="AI12" i="25"/>
  <c r="K12" i="25"/>
  <c r="AA12" i="25"/>
  <c r="L12" i="25"/>
  <c r="AB12" i="25"/>
  <c r="K13" i="19"/>
  <c r="K15" i="19" s="1"/>
  <c r="K17" i="19" s="1"/>
  <c r="K19" i="19" s="1"/>
  <c r="K21" i="19" s="1"/>
  <c r="AK12" i="25"/>
  <c r="N12" i="25"/>
  <c r="V12" i="25"/>
  <c r="AD12" i="25"/>
  <c r="AL12" i="25"/>
  <c r="O12" i="25"/>
  <c r="W12" i="25"/>
  <c r="AE12" i="25"/>
  <c r="I12" i="25"/>
  <c r="AP12" i="25" s="1"/>
  <c r="Q12" i="25"/>
  <c r="Y12" i="25"/>
  <c r="AG12" i="25"/>
  <c r="J12" i="25"/>
  <c r="AQ12" i="25" s="1"/>
  <c r="R12" i="25"/>
  <c r="Z12" i="25"/>
  <c r="O21" i="25"/>
  <c r="P21" i="25"/>
  <c r="AN21" i="25"/>
  <c r="R21" i="25"/>
  <c r="Z21" i="25"/>
  <c r="AH21" i="25"/>
  <c r="AE21" i="25"/>
  <c r="S21" i="25"/>
  <c r="AA21" i="25"/>
  <c r="AI21" i="25"/>
  <c r="L21" i="25"/>
  <c r="T21" i="25"/>
  <c r="AB21" i="25"/>
  <c r="AJ21" i="25"/>
  <c r="AF21" i="25"/>
  <c r="M21" i="25"/>
  <c r="U21" i="25"/>
  <c r="AC21" i="25"/>
  <c r="AK21" i="25"/>
  <c r="AM21" i="25"/>
  <c r="X21" i="25"/>
  <c r="N21" i="25"/>
  <c r="V21" i="25"/>
  <c r="AD21" i="25"/>
  <c r="AL21" i="25"/>
  <c r="W21" i="25"/>
  <c r="Q21" i="25"/>
  <c r="Y21" i="25"/>
  <c r="AG21" i="25"/>
  <c r="AN20" i="25"/>
  <c r="Q20" i="25"/>
  <c r="Y20" i="25"/>
  <c r="AG20" i="25"/>
  <c r="AO20" i="25"/>
  <c r="R20" i="25"/>
  <c r="Z20" i="25"/>
  <c r="AH20" i="25"/>
  <c r="AP20" i="25"/>
  <c r="P20" i="25"/>
  <c r="S20" i="25"/>
  <c r="AA20" i="25"/>
  <c r="AI20" i="25"/>
  <c r="AF20" i="25"/>
  <c r="L20" i="25"/>
  <c r="L22" i="25" s="1"/>
  <c r="L27" i="25" s="1"/>
  <c r="T20" i="25"/>
  <c r="AB20" i="25"/>
  <c r="AJ20" i="25"/>
  <c r="X20" i="25"/>
  <c r="M20" i="25"/>
  <c r="M22" i="25" s="1"/>
  <c r="M27" i="25" s="1"/>
  <c r="U20" i="25"/>
  <c r="AC20" i="25"/>
  <c r="AK20" i="25"/>
  <c r="N20" i="25"/>
  <c r="N22" i="25" s="1"/>
  <c r="N27" i="25" s="1"/>
  <c r="V20" i="25"/>
  <c r="AD20" i="25"/>
  <c r="AL20" i="25"/>
  <c r="O20" i="25"/>
  <c r="W20" i="25"/>
  <c r="AE20" i="25"/>
  <c r="AM20" i="25"/>
  <c r="E21" i="25"/>
  <c r="E18" i="25"/>
  <c r="E16" i="25"/>
  <c r="G16" i="25" s="1"/>
  <c r="E17" i="25"/>
  <c r="G13" i="25"/>
  <c r="R11" i="25"/>
  <c r="AH11" i="25"/>
  <c r="K11" i="25"/>
  <c r="AA11" i="25"/>
  <c r="T11" i="25"/>
  <c r="AJ11" i="25"/>
  <c r="M11" i="25"/>
  <c r="AC11" i="25"/>
  <c r="AK11" i="25"/>
  <c r="N11" i="25"/>
  <c r="V11" i="25"/>
  <c r="AD11" i="25"/>
  <c r="AL11" i="25"/>
  <c r="J11" i="25"/>
  <c r="AQ11" i="25" s="1"/>
  <c r="Z11" i="25"/>
  <c r="S11" i="25"/>
  <c r="AI11" i="25"/>
  <c r="L11" i="25"/>
  <c r="AB11" i="25"/>
  <c r="U11" i="25"/>
  <c r="O11" i="25"/>
  <c r="AE11" i="25"/>
  <c r="G11" i="25"/>
  <c r="AN11" i="25" s="1"/>
  <c r="P11" i="25"/>
  <c r="X11" i="25"/>
  <c r="AF11" i="25"/>
  <c r="W11" i="25"/>
  <c r="I11" i="25"/>
  <c r="AP11" i="25" s="1"/>
  <c r="Q11" i="25"/>
  <c r="Y11" i="25"/>
  <c r="K23" i="25"/>
  <c r="I95" i="25"/>
  <c r="I65" i="25"/>
  <c r="J22" i="25"/>
  <c r="I30" i="25"/>
  <c r="J24" i="25"/>
  <c r="K24" i="25"/>
  <c r="I27" i="25"/>
  <c r="I43" i="25" s="1"/>
  <c r="I31" i="25"/>
  <c r="I86" i="25"/>
  <c r="I99" i="25"/>
  <c r="I82" i="25"/>
  <c r="G103" i="25"/>
  <c r="D77" i="17"/>
  <c r="J9" i="25" l="1"/>
  <c r="AQ9" i="25" s="1"/>
  <c r="L9" i="25"/>
  <c r="AJ9" i="25"/>
  <c r="N9" i="25"/>
  <c r="AI9" i="25"/>
  <c r="W9" i="25"/>
  <c r="Z9" i="25"/>
  <c r="AE9" i="25"/>
  <c r="R9" i="25"/>
  <c r="X9" i="25"/>
  <c r="T9" i="25"/>
  <c r="AK9" i="25"/>
  <c r="AF9" i="25"/>
  <c r="AH9" i="25"/>
  <c r="Y9" i="25"/>
  <c r="U9" i="25"/>
  <c r="AA9" i="25"/>
  <c r="AC9" i="25"/>
  <c r="S9" i="25"/>
  <c r="O9" i="25"/>
  <c r="K9" i="25"/>
  <c r="G9" i="25"/>
  <c r="AN9" i="25" s="1"/>
  <c r="AL9" i="25"/>
  <c r="Q9" i="25"/>
  <c r="G82" i="25"/>
  <c r="G99" i="25"/>
  <c r="G101" i="25" s="1"/>
  <c r="G78" i="25" s="1"/>
  <c r="P9" i="25"/>
  <c r="AG9" i="25"/>
  <c r="I9" i="25"/>
  <c r="AP9" i="25" s="1"/>
  <c r="V9" i="25"/>
  <c r="AD9" i="25"/>
  <c r="K23" i="19"/>
  <c r="N49" i="25"/>
  <c r="K49" i="25"/>
  <c r="M49" i="25"/>
  <c r="L49" i="25"/>
  <c r="J49" i="25"/>
  <c r="E24" i="25"/>
  <c r="L23" i="25"/>
  <c r="L28" i="25" s="1"/>
  <c r="D79" i="17"/>
  <c r="AQ21" i="25" s="1"/>
  <c r="AP21" i="25"/>
  <c r="G17" i="25"/>
  <c r="E22" i="25"/>
  <c r="I92" i="25"/>
  <c r="I64" i="25"/>
  <c r="I66" i="25"/>
  <c r="J23" i="25"/>
  <c r="K25" i="19" l="1"/>
  <c r="O49" i="25"/>
  <c r="G22" i="25"/>
  <c r="E23" i="25"/>
  <c r="E30" i="25"/>
  <c r="E31" i="25"/>
  <c r="I67" i="25"/>
  <c r="K27" i="19" l="1"/>
  <c r="P49" i="25"/>
  <c r="G23" i="25"/>
  <c r="G30" i="25"/>
  <c r="G31" i="25"/>
  <c r="K29" i="19" l="1"/>
  <c r="Q49" i="25"/>
  <c r="G119" i="25"/>
  <c r="G120" i="25"/>
  <c r="G118" i="25"/>
  <c r="K31" i="19" l="1"/>
  <c r="R49" i="25"/>
  <c r="G121" i="25"/>
  <c r="K33" i="19" l="1"/>
  <c r="S49" i="25"/>
  <c r="K35" i="19" l="1"/>
  <c r="T49" i="25"/>
  <c r="K37" i="19" l="1"/>
  <c r="U49" i="25"/>
  <c r="K39" i="19" l="1"/>
  <c r="V49" i="25"/>
  <c r="K41" i="19" l="1"/>
  <c r="W49" i="25"/>
  <c r="K43" i="19" l="1"/>
  <c r="X49" i="25"/>
  <c r="K45" i="19" l="1"/>
  <c r="Y49" i="25"/>
  <c r="K47" i="19" l="1"/>
  <c r="Z49" i="25"/>
  <c r="K49" i="19" l="1"/>
  <c r="AA49" i="25"/>
  <c r="K51" i="19" l="1"/>
  <c r="AB49" i="25"/>
  <c r="K53" i="19" l="1"/>
  <c r="AC49" i="25"/>
  <c r="K55" i="19" l="1"/>
  <c r="AD49" i="25"/>
  <c r="K57" i="19" l="1"/>
  <c r="AE49" i="25"/>
  <c r="K59" i="19" l="1"/>
  <c r="AF49" i="25"/>
  <c r="K61" i="19" l="1"/>
  <c r="AG49" i="25"/>
  <c r="K63" i="19" l="1"/>
  <c r="AH49" i="25"/>
  <c r="K65" i="19" l="1"/>
  <c r="AI49" i="25"/>
  <c r="K67" i="19" l="1"/>
  <c r="AJ49" i="25"/>
  <c r="K69" i="19" l="1"/>
  <c r="AK49" i="25"/>
  <c r="K71" i="19" l="1"/>
  <c r="AL49" i="25"/>
  <c r="K73" i="19" l="1"/>
  <c r="AM49" i="25"/>
  <c r="K75" i="19" l="1"/>
  <c r="AN49" i="25"/>
  <c r="K77" i="19" l="1"/>
  <c r="AO49" i="25"/>
  <c r="K79" i="19" l="1"/>
  <c r="AP49" i="25"/>
  <c r="K81" i="19" l="1"/>
  <c r="K83" i="19" s="1"/>
  <c r="K85" i="19" s="1"/>
  <c r="K87" i="19" s="1"/>
  <c r="K89" i="19" s="1"/>
  <c r="K91" i="19" s="1"/>
  <c r="AQ49" i="25"/>
  <c r="H12" i="18" l="1"/>
  <c r="M10" i="15"/>
  <c r="M11" i="15"/>
  <c r="J24" i="15" l="1"/>
  <c r="J25" i="25"/>
  <c r="U6" i="16"/>
  <c r="K6" i="16"/>
  <c r="L6" i="16" s="1"/>
  <c r="M6" i="16" s="1"/>
  <c r="N6" i="16" s="1"/>
  <c r="O6" i="16" s="1"/>
  <c r="P6" i="16" s="1"/>
  <c r="Q6" i="16" s="1"/>
  <c r="R6" i="16" s="1"/>
  <c r="S6" i="16" s="1"/>
  <c r="T6" i="16" s="1"/>
  <c r="F86" i="16"/>
  <c r="F84" i="16"/>
  <c r="F82" i="16"/>
  <c r="F80" i="16"/>
  <c r="F78" i="16"/>
  <c r="F76" i="16"/>
  <c r="F74" i="16"/>
  <c r="F72" i="16"/>
  <c r="F70" i="16"/>
  <c r="F68" i="16"/>
  <c r="F62" i="16"/>
  <c r="J43" i="25" l="1"/>
  <c r="J44" i="25"/>
  <c r="AQ14" i="15"/>
  <c r="AQ15" i="25"/>
  <c r="AN14" i="15"/>
  <c r="AN15" i="25"/>
  <c r="G10" i="15"/>
  <c r="AN10" i="15" s="1"/>
  <c r="I10" i="15"/>
  <c r="AP10" i="15" s="1"/>
  <c r="J10" i="15"/>
  <c r="AQ10" i="15" s="1"/>
  <c r="K10" i="15"/>
  <c r="L10" i="15"/>
  <c r="N10" i="15"/>
  <c r="O10" i="15"/>
  <c r="P10" i="15"/>
  <c r="Q10" i="15"/>
  <c r="R10" i="15"/>
  <c r="S10" i="15"/>
  <c r="T10" i="15"/>
  <c r="U10" i="15"/>
  <c r="V10" i="15"/>
  <c r="W10" i="15"/>
  <c r="X10" i="15"/>
  <c r="Y10" i="15"/>
  <c r="Z10" i="15"/>
  <c r="AA10" i="15"/>
  <c r="AB10" i="15"/>
  <c r="AC10" i="15"/>
  <c r="AD10" i="15"/>
  <c r="AE10" i="15"/>
  <c r="AF10" i="15"/>
  <c r="AG10" i="15"/>
  <c r="AH10" i="15"/>
  <c r="AI10" i="15"/>
  <c r="AJ10" i="15"/>
  <c r="AK10" i="15"/>
  <c r="AL10" i="15"/>
  <c r="AM10" i="15"/>
  <c r="AO10" i="15"/>
  <c r="E9" i="15"/>
  <c r="F66" i="16"/>
  <c r="AP14" i="15" s="1"/>
  <c r="F64" i="16"/>
  <c r="F60" i="16"/>
  <c r="F58" i="16"/>
  <c r="F56" i="16"/>
  <c r="F54" i="16"/>
  <c r="F52" i="16"/>
  <c r="F50" i="16"/>
  <c r="F48" i="16"/>
  <c r="F46" i="16"/>
  <c r="F44" i="16"/>
  <c r="F42" i="16"/>
  <c r="F40" i="16"/>
  <c r="F38" i="16"/>
  <c r="F36" i="16"/>
  <c r="F34" i="16"/>
  <c r="F32" i="16"/>
  <c r="F30" i="16"/>
  <c r="F28" i="16"/>
  <c r="F26" i="16"/>
  <c r="F24" i="16"/>
  <c r="F22" i="16"/>
  <c r="F20" i="16"/>
  <c r="F18" i="16"/>
  <c r="M26" i="18"/>
  <c r="M28" i="18" s="1"/>
  <c r="M30" i="18" s="1"/>
  <c r="M32" i="18" s="1"/>
  <c r="M34" i="18" s="1"/>
  <c r="M36" i="18" s="1"/>
  <c r="M38" i="18" s="1"/>
  <c r="M40" i="18" s="1"/>
  <c r="M42" i="18" s="1"/>
  <c r="M44" i="18" s="1"/>
  <c r="M46" i="18" s="1"/>
  <c r="M48" i="18" s="1"/>
  <c r="M50" i="18" s="1"/>
  <c r="M52" i="18" s="1"/>
  <c r="M54" i="18" s="1"/>
  <c r="M56" i="18" s="1"/>
  <c r="M58" i="18" s="1"/>
  <c r="M60" i="18" s="1"/>
  <c r="M62" i="18" s="1"/>
  <c r="M64" i="18" s="1"/>
  <c r="M66" i="18" s="1"/>
  <c r="M68" i="18" s="1"/>
  <c r="M70" i="18" s="1"/>
  <c r="M72" i="18" s="1"/>
  <c r="M74" i="18" s="1"/>
  <c r="M76" i="18" s="1"/>
  <c r="M78" i="18" s="1"/>
  <c r="E8" i="15"/>
  <c r="K74" i="22"/>
  <c r="K72" i="22"/>
  <c r="K70" i="22"/>
  <c r="AN26" i="21"/>
  <c r="AM26" i="21"/>
  <c r="K10" i="18"/>
  <c r="I25" i="15"/>
  <c r="F77" i="18"/>
  <c r="F75" i="18"/>
  <c r="F73" i="18"/>
  <c r="F71" i="18"/>
  <c r="F10" i="18"/>
  <c r="L11" i="17"/>
  <c r="W14" i="15" l="1"/>
  <c r="W15" i="25"/>
  <c r="AE14" i="15"/>
  <c r="AE15" i="25"/>
  <c r="X14" i="15"/>
  <c r="X15" i="25"/>
  <c r="AO14" i="15"/>
  <c r="AO15" i="25"/>
  <c r="Y14" i="15"/>
  <c r="Y15" i="25"/>
  <c r="R14" i="15"/>
  <c r="R15" i="25"/>
  <c r="AA14" i="15"/>
  <c r="AA15" i="25"/>
  <c r="T14" i="15"/>
  <c r="T15" i="25"/>
  <c r="AB14" i="15"/>
  <c r="AB15" i="25"/>
  <c r="AJ14" i="15"/>
  <c r="AJ15" i="25"/>
  <c r="AM14" i="15"/>
  <c r="AM15" i="25"/>
  <c r="AF14" i="15"/>
  <c r="AF15" i="25"/>
  <c r="Z14" i="15"/>
  <c r="Z15" i="25"/>
  <c r="AI14" i="15"/>
  <c r="AI15" i="25"/>
  <c r="U14" i="15"/>
  <c r="U15" i="25"/>
  <c r="AC14" i="15"/>
  <c r="AC15" i="25"/>
  <c r="AK14" i="15"/>
  <c r="AK15" i="25"/>
  <c r="AG14" i="15"/>
  <c r="AG15" i="25"/>
  <c r="AH14" i="15"/>
  <c r="AH15" i="25"/>
  <c r="S14" i="15"/>
  <c r="S15" i="25"/>
  <c r="V14" i="15"/>
  <c r="V15" i="25"/>
  <c r="AD14" i="15"/>
  <c r="AD15" i="25"/>
  <c r="AL14" i="15"/>
  <c r="AL15" i="25"/>
  <c r="J25" i="15"/>
  <c r="J26" i="25"/>
  <c r="L15" i="17"/>
  <c r="J31" i="25" l="1"/>
  <c r="J30" i="25"/>
  <c r="L17" i="17"/>
  <c r="L19" i="17" l="1"/>
  <c r="L21" i="17" l="1"/>
  <c r="AO11" i="15"/>
  <c r="AO8" i="15"/>
  <c r="AM11" i="15"/>
  <c r="AM8" i="15"/>
  <c r="J15" i="17"/>
  <c r="H15" i="17"/>
  <c r="N28" i="22"/>
  <c r="N26" i="22"/>
  <c r="N24" i="22"/>
  <c r="N22" i="22"/>
  <c r="N20" i="22"/>
  <c r="N18" i="22"/>
  <c r="N16" i="22"/>
  <c r="N14" i="22"/>
  <c r="N12" i="22"/>
  <c r="N10" i="22"/>
  <c r="N8" i="22"/>
  <c r="A12" i="18"/>
  <c r="K26" i="22"/>
  <c r="K28" i="22" s="1"/>
  <c r="K30" i="22" s="1"/>
  <c r="N6" i="22"/>
  <c r="J20" i="15" l="1"/>
  <c r="J17" i="17"/>
  <c r="L23" i="17"/>
  <c r="K20" i="15"/>
  <c r="H17" i="17"/>
  <c r="K32" i="22"/>
  <c r="D10" i="18"/>
  <c r="E41" i="21"/>
  <c r="G41" i="21" s="1"/>
  <c r="G66" i="21" s="1"/>
  <c r="E40" i="21"/>
  <c r="G40" i="21" s="1"/>
  <c r="E10" i="21"/>
  <c r="E9" i="21"/>
  <c r="E8" i="21"/>
  <c r="E6" i="21"/>
  <c r="E5" i="21"/>
  <c r="E7" i="21" s="1"/>
  <c r="AL26" i="21"/>
  <c r="AK26" i="21"/>
  <c r="AJ26" i="21"/>
  <c r="AI26" i="21"/>
  <c r="AH26" i="21"/>
  <c r="AG26" i="21"/>
  <c r="AF26" i="21"/>
  <c r="AE26" i="21"/>
  <c r="AD26" i="21"/>
  <c r="AC26" i="21"/>
  <c r="AB26" i="21"/>
  <c r="AA26" i="21"/>
  <c r="Z26" i="21"/>
  <c r="Y26" i="21"/>
  <c r="X26" i="21"/>
  <c r="W26" i="21"/>
  <c r="V26" i="21"/>
  <c r="U26" i="21"/>
  <c r="T26" i="21"/>
  <c r="S26" i="21"/>
  <c r="R26" i="21"/>
  <c r="Q26" i="21"/>
  <c r="P26" i="21"/>
  <c r="O26" i="21"/>
  <c r="N26" i="21"/>
  <c r="M26" i="21"/>
  <c r="L26" i="21"/>
  <c r="K26" i="21"/>
  <c r="G19" i="21"/>
  <c r="G18" i="21"/>
  <c r="R11" i="21"/>
  <c r="Q11" i="21"/>
  <c r="P11" i="21"/>
  <c r="O11" i="21"/>
  <c r="N11" i="21"/>
  <c r="AJ8" i="21" l="1"/>
  <c r="AM8" i="21"/>
  <c r="AN8" i="21"/>
  <c r="AN7" i="21"/>
  <c r="AM7" i="21"/>
  <c r="AN15" i="21"/>
  <c r="AM15" i="21"/>
  <c r="AK9" i="21"/>
  <c r="AN9" i="21"/>
  <c r="AM9" i="21"/>
  <c r="I17" i="15"/>
  <c r="I23" i="15" s="1"/>
  <c r="E17" i="15"/>
  <c r="E23" i="15" s="1"/>
  <c r="L25" i="17"/>
  <c r="J19" i="17"/>
  <c r="L20" i="15"/>
  <c r="H19" i="17"/>
  <c r="K34" i="22"/>
  <c r="G10" i="21"/>
  <c r="AD9" i="21"/>
  <c r="O9" i="21"/>
  <c r="W9" i="21"/>
  <c r="AE9" i="21"/>
  <c r="P9" i="21"/>
  <c r="X9" i="21"/>
  <c r="AF9" i="21"/>
  <c r="G9" i="21"/>
  <c r="I9" i="21"/>
  <c r="Q9" i="21"/>
  <c r="Y9" i="21"/>
  <c r="AG9" i="21"/>
  <c r="N9" i="21"/>
  <c r="R9" i="21"/>
  <c r="K9" i="21"/>
  <c r="S9" i="21"/>
  <c r="AA9" i="21"/>
  <c r="AI9" i="21"/>
  <c r="AL9" i="21"/>
  <c r="Z9" i="21"/>
  <c r="T9" i="21"/>
  <c r="AB9" i="21"/>
  <c r="AJ9" i="21"/>
  <c r="V9" i="21"/>
  <c r="J9" i="21"/>
  <c r="AH9" i="21"/>
  <c r="L9" i="21"/>
  <c r="M9" i="21"/>
  <c r="U9" i="21"/>
  <c r="AC9" i="21"/>
  <c r="N8" i="21"/>
  <c r="V8" i="21"/>
  <c r="AD8" i="21"/>
  <c r="AL8" i="21"/>
  <c r="O8" i="21"/>
  <c r="W8" i="21"/>
  <c r="AE8" i="21"/>
  <c r="AK8" i="21"/>
  <c r="G8" i="21"/>
  <c r="AF8" i="21"/>
  <c r="I8" i="21"/>
  <c r="AG8" i="21"/>
  <c r="J8" i="21"/>
  <c r="R8" i="21"/>
  <c r="Z8" i="21"/>
  <c r="AH8" i="21"/>
  <c r="U8" i="21"/>
  <c r="P8" i="21"/>
  <c r="Y8" i="21"/>
  <c r="K8" i="21"/>
  <c r="S8" i="21"/>
  <c r="AA8" i="21"/>
  <c r="AI8" i="21"/>
  <c r="M8" i="21"/>
  <c r="AC8" i="21"/>
  <c r="X8" i="21"/>
  <c r="Q8" i="21"/>
  <c r="L8" i="21"/>
  <c r="T8" i="21"/>
  <c r="AB8" i="21"/>
  <c r="AI7" i="21"/>
  <c r="I7" i="21"/>
  <c r="AJ7" i="21"/>
  <c r="AH7" i="21"/>
  <c r="AG7" i="21"/>
  <c r="AB7" i="21"/>
  <c r="Q7" i="21"/>
  <c r="L7" i="21"/>
  <c r="J7" i="21"/>
  <c r="R7" i="21"/>
  <c r="T7" i="21"/>
  <c r="Y7" i="21"/>
  <c r="Z7" i="21"/>
  <c r="M7" i="21"/>
  <c r="U7" i="21"/>
  <c r="AC7" i="21"/>
  <c r="AK7" i="21"/>
  <c r="N7" i="21"/>
  <c r="V7" i="21"/>
  <c r="AD7" i="21"/>
  <c r="AL7" i="21"/>
  <c r="W7" i="21"/>
  <c r="AE7" i="21"/>
  <c r="O7" i="21"/>
  <c r="G7" i="21"/>
  <c r="P7" i="21"/>
  <c r="X7" i="21"/>
  <c r="AF7" i="21"/>
  <c r="G70" i="21"/>
  <c r="G83" i="21"/>
  <c r="K7" i="21"/>
  <c r="S7" i="21"/>
  <c r="AA7" i="21"/>
  <c r="G84" i="21"/>
  <c r="G87" i="21"/>
  <c r="L27" i="17" l="1"/>
  <c r="J21" i="17"/>
  <c r="M20" i="15"/>
  <c r="H21" i="17"/>
  <c r="K36" i="22"/>
  <c r="G85" i="21"/>
  <c r="G62" i="21" s="1"/>
  <c r="L29" i="17" l="1"/>
  <c r="J23" i="17"/>
  <c r="N20" i="15"/>
  <c r="H23" i="17"/>
  <c r="K38" i="22"/>
  <c r="G25" i="15"/>
  <c r="L31" i="17" l="1"/>
  <c r="J25" i="17"/>
  <c r="O20" i="15"/>
  <c r="H25" i="17"/>
  <c r="K40" i="22"/>
  <c r="K14" i="18"/>
  <c r="K25" i="15" l="1"/>
  <c r="K26" i="25"/>
  <c r="L33" i="17"/>
  <c r="J27" i="17"/>
  <c r="P20" i="15"/>
  <c r="H27" i="17"/>
  <c r="K42" i="22"/>
  <c r="J19" i="21"/>
  <c r="K16" i="18"/>
  <c r="L26" i="25" s="1"/>
  <c r="K30" i="25" l="1"/>
  <c r="K31" i="25"/>
  <c r="L30" i="25"/>
  <c r="L31" i="25"/>
  <c r="L25" i="15"/>
  <c r="I19" i="21"/>
  <c r="L35" i="17"/>
  <c r="J29" i="17"/>
  <c r="Q20" i="15"/>
  <c r="H29" i="17"/>
  <c r="K19" i="21"/>
  <c r="K44" i="22"/>
  <c r="K18" i="18"/>
  <c r="M25" i="15" l="1"/>
  <c r="M26" i="25"/>
  <c r="M30" i="25" s="1"/>
  <c r="L37" i="17"/>
  <c r="J31" i="17"/>
  <c r="R20" i="15"/>
  <c r="H31" i="17"/>
  <c r="K20" i="18"/>
  <c r="N26" i="25" s="1"/>
  <c r="N30" i="25" s="1"/>
  <c r="K46" i="22"/>
  <c r="L19" i="21"/>
  <c r="N25" i="15" l="1"/>
  <c r="L39" i="17"/>
  <c r="K22" i="18"/>
  <c r="O26" i="25" s="1"/>
  <c r="M19" i="21"/>
  <c r="J33" i="17"/>
  <c r="S20" i="15"/>
  <c r="H33" i="17"/>
  <c r="K48" i="22"/>
  <c r="B3" i="16"/>
  <c r="J11" i="15"/>
  <c r="AQ11" i="15" s="1"/>
  <c r="AL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L11" i="15"/>
  <c r="K11" i="15"/>
  <c r="I11" i="15"/>
  <c r="AP11" i="15" s="1"/>
  <c r="O7" i="19"/>
  <c r="O6" i="19"/>
  <c r="A13" i="19"/>
  <c r="A15" i="19" s="1"/>
  <c r="A17" i="19" s="1"/>
  <c r="A19" i="19" s="1"/>
  <c r="A21" i="19" s="1"/>
  <c r="A23" i="19" s="1"/>
  <c r="A25" i="19" s="1"/>
  <c r="A27" i="19" s="1"/>
  <c r="A29" i="19" s="1"/>
  <c r="A31" i="19" s="1"/>
  <c r="A33" i="19" s="1"/>
  <c r="A35" i="19" s="1"/>
  <c r="A37" i="19" s="1"/>
  <c r="A39" i="19" s="1"/>
  <c r="A41" i="19" s="1"/>
  <c r="A43" i="19" s="1"/>
  <c r="A45" i="19" s="1"/>
  <c r="A47" i="19" s="1"/>
  <c r="A49" i="19" s="1"/>
  <c r="A51" i="19" s="1"/>
  <c r="A53" i="19" s="1"/>
  <c r="A55" i="19" s="1"/>
  <c r="A57" i="19" s="1"/>
  <c r="A59" i="19" s="1"/>
  <c r="A61" i="19" s="1"/>
  <c r="A63" i="19" s="1"/>
  <c r="A65" i="19" s="1"/>
  <c r="A67" i="19" s="1"/>
  <c r="A69" i="19" s="1"/>
  <c r="A71" i="19" s="1"/>
  <c r="A73" i="19" s="1"/>
  <c r="A75" i="19" s="1"/>
  <c r="A77" i="19" s="1"/>
  <c r="A79" i="19" s="1"/>
  <c r="A81" i="19" s="1"/>
  <c r="A83" i="19" s="1"/>
  <c r="A85" i="19" s="1"/>
  <c r="A87" i="19" s="1"/>
  <c r="A89" i="19" s="1"/>
  <c r="A91" i="19" s="1"/>
  <c r="G11" i="15"/>
  <c r="AN11" i="15" s="1"/>
  <c r="G12" i="15"/>
  <c r="AE8" i="15"/>
  <c r="H10" i="18"/>
  <c r="E25" i="25" s="1"/>
  <c r="E10" i="18"/>
  <c r="E16" i="15" s="1"/>
  <c r="G25" i="25" l="1"/>
  <c r="G28" i="25" s="1"/>
  <c r="G44" i="25" s="1"/>
  <c r="E29" i="25"/>
  <c r="E27" i="25"/>
  <c r="G27" i="25" s="1"/>
  <c r="G43" i="25" s="1"/>
  <c r="E28" i="25"/>
  <c r="I100" i="25"/>
  <c r="I101" i="25" s="1"/>
  <c r="I78" i="25" s="1"/>
  <c r="I103" i="25"/>
  <c r="I84" i="25"/>
  <c r="I71" i="25" s="1"/>
  <c r="I94" i="25"/>
  <c r="I96" i="25" s="1"/>
  <c r="I91" i="25"/>
  <c r="I93" i="25" s="1"/>
  <c r="I88" i="25"/>
  <c r="I87" i="25"/>
  <c r="I83" i="25"/>
  <c r="I70" i="25" s="1"/>
  <c r="I28" i="15"/>
  <c r="E24" i="15"/>
  <c r="F8" i="16"/>
  <c r="N14" i="15"/>
  <c r="O25" i="15"/>
  <c r="I16" i="15"/>
  <c r="L41" i="17"/>
  <c r="E19" i="15"/>
  <c r="N19" i="21"/>
  <c r="K24" i="18"/>
  <c r="P26" i="25" s="1"/>
  <c r="J35" i="17"/>
  <c r="T20" i="15"/>
  <c r="H35" i="17"/>
  <c r="K50" i="22"/>
  <c r="E13" i="21"/>
  <c r="I40" i="21"/>
  <c r="H14" i="18"/>
  <c r="K25" i="25" s="1"/>
  <c r="I49" i="15"/>
  <c r="I85" i="15" s="1"/>
  <c r="J8" i="15"/>
  <c r="AQ8" i="15" s="1"/>
  <c r="K8" i="15"/>
  <c r="L8" i="15"/>
  <c r="Y8" i="15"/>
  <c r="S8" i="15"/>
  <c r="Z8" i="15"/>
  <c r="X8" i="15"/>
  <c r="T8" i="15"/>
  <c r="AF8" i="15"/>
  <c r="U8" i="15"/>
  <c r="AG8" i="15"/>
  <c r="AH8" i="15"/>
  <c r="AI8" i="15"/>
  <c r="O8" i="15"/>
  <c r="AB8" i="15"/>
  <c r="AJ8" i="15"/>
  <c r="N8" i="15"/>
  <c r="G8" i="15"/>
  <c r="AN8" i="15" s="1"/>
  <c r="P8" i="15"/>
  <c r="AC8" i="15"/>
  <c r="AK8" i="15"/>
  <c r="I48" i="15"/>
  <c r="I102" i="15" s="1"/>
  <c r="G13" i="19"/>
  <c r="AA8" i="15"/>
  <c r="I8" i="15"/>
  <c r="AP8" i="15" s="1"/>
  <c r="Q8" i="15"/>
  <c r="AD8" i="15"/>
  <c r="AL8" i="15"/>
  <c r="V8" i="15"/>
  <c r="R8" i="15"/>
  <c r="W8" i="15"/>
  <c r="E13" i="19"/>
  <c r="G92" i="25" l="1"/>
  <c r="G64" i="25"/>
  <c r="G91" i="25"/>
  <c r="G95" i="25"/>
  <c r="G94" i="25"/>
  <c r="G65" i="25"/>
  <c r="G66" i="25"/>
  <c r="M14" i="15"/>
  <c r="M15" i="25"/>
  <c r="O14" i="15"/>
  <c r="O15" i="25"/>
  <c r="P14" i="15"/>
  <c r="P15" i="25"/>
  <c r="Q14" i="15"/>
  <c r="Q15" i="25"/>
  <c r="K43" i="25"/>
  <c r="K44" i="25"/>
  <c r="I72" i="25"/>
  <c r="I104" i="25"/>
  <c r="I74" i="25" s="1"/>
  <c r="I73" i="25"/>
  <c r="I105" i="25"/>
  <c r="I75" i="25" s="1"/>
  <c r="J100" i="25"/>
  <c r="J103" i="25"/>
  <c r="E28" i="15"/>
  <c r="G24" i="15"/>
  <c r="P25" i="15"/>
  <c r="K24" i="15"/>
  <c r="J16" i="15"/>
  <c r="D12" i="18"/>
  <c r="L43" i="17"/>
  <c r="J11" i="21"/>
  <c r="L11" i="21"/>
  <c r="K26" i="18"/>
  <c r="Q26" i="25" s="1"/>
  <c r="O19" i="21"/>
  <c r="K11" i="21"/>
  <c r="I11" i="21"/>
  <c r="M11" i="21"/>
  <c r="J37" i="17"/>
  <c r="U20" i="15"/>
  <c r="H37" i="17"/>
  <c r="K52" i="22"/>
  <c r="G13" i="21"/>
  <c r="I84" i="21"/>
  <c r="I87" i="21"/>
  <c r="J40" i="21"/>
  <c r="I98" i="15"/>
  <c r="I81" i="15"/>
  <c r="H16" i="18"/>
  <c r="L25" i="25" s="1"/>
  <c r="J49" i="15"/>
  <c r="G16" i="15"/>
  <c r="J48" i="15"/>
  <c r="J99" i="15" s="1"/>
  <c r="G15" i="19"/>
  <c r="I99" i="15"/>
  <c r="E15" i="19"/>
  <c r="G67" i="25" l="1"/>
  <c r="G93" i="25"/>
  <c r="G96" i="25"/>
  <c r="G88" i="25"/>
  <c r="G73" i="25" s="1"/>
  <c r="G84" i="25"/>
  <c r="G71" i="25" s="1"/>
  <c r="G87" i="25"/>
  <c r="G72" i="25" s="1"/>
  <c r="G83" i="25"/>
  <c r="G70" i="25" s="1"/>
  <c r="I107" i="25"/>
  <c r="I76" i="25" s="1"/>
  <c r="I111" i="25" s="1"/>
  <c r="L44" i="25"/>
  <c r="L43" i="25"/>
  <c r="I108" i="25"/>
  <c r="I77" i="25" s="1"/>
  <c r="I112" i="25" s="1"/>
  <c r="I52" i="25" s="1"/>
  <c r="J7" i="24" s="1"/>
  <c r="K100" i="25"/>
  <c r="K103" i="25"/>
  <c r="L24" i="15"/>
  <c r="I18" i="21"/>
  <c r="D14" i="18"/>
  <c r="K17" i="15" s="1"/>
  <c r="I13" i="21"/>
  <c r="Q25" i="15"/>
  <c r="L45" i="17"/>
  <c r="J17" i="15"/>
  <c r="J23" i="15" s="1"/>
  <c r="K28" i="18"/>
  <c r="R26" i="25" s="1"/>
  <c r="P19" i="21"/>
  <c r="J39" i="17"/>
  <c r="V20" i="15"/>
  <c r="H39" i="17"/>
  <c r="K54" i="22"/>
  <c r="K40" i="21"/>
  <c r="J87" i="21"/>
  <c r="J84" i="21"/>
  <c r="I100" i="15"/>
  <c r="I77" i="15" s="1"/>
  <c r="H18" i="18"/>
  <c r="M25" i="25" s="1"/>
  <c r="J102" i="15"/>
  <c r="G17" i="19"/>
  <c r="K48" i="15"/>
  <c r="E17" i="19"/>
  <c r="K49" i="15"/>
  <c r="J81" i="15"/>
  <c r="J85" i="15"/>
  <c r="J98" i="15"/>
  <c r="J100" i="15" s="1"/>
  <c r="J77" i="15" s="1"/>
  <c r="G104" i="25" l="1"/>
  <c r="G74" i="25" s="1"/>
  <c r="G107" i="25" s="1"/>
  <c r="G76" i="25" s="1"/>
  <c r="G111" i="25" s="1"/>
  <c r="G51" i="25" s="1"/>
  <c r="G105" i="25"/>
  <c r="G75" i="25" s="1"/>
  <c r="G108" i="25" s="1"/>
  <c r="G77" i="25" s="1"/>
  <c r="G112" i="25" s="1"/>
  <c r="M43" i="25"/>
  <c r="I113" i="25"/>
  <c r="I114" i="25" s="1"/>
  <c r="I41" i="21"/>
  <c r="I66" i="21" s="1"/>
  <c r="I51" i="25"/>
  <c r="I7" i="24" s="1"/>
  <c r="L103" i="25"/>
  <c r="L100" i="25"/>
  <c r="M24" i="15"/>
  <c r="J18" i="21"/>
  <c r="R25" i="15"/>
  <c r="D16" i="18"/>
  <c r="L18" i="25" s="1"/>
  <c r="L24" i="25" s="1"/>
  <c r="J13" i="21"/>
  <c r="L47" i="17"/>
  <c r="K30" i="18"/>
  <c r="S26" i="25" s="1"/>
  <c r="Q19" i="21"/>
  <c r="K23" i="15"/>
  <c r="J41" i="17"/>
  <c r="W20" i="15"/>
  <c r="H41" i="17"/>
  <c r="K56" i="22"/>
  <c r="L40" i="21"/>
  <c r="K87" i="21"/>
  <c r="K84" i="21"/>
  <c r="H20" i="18"/>
  <c r="N25" i="25" s="1"/>
  <c r="K99" i="15"/>
  <c r="K102" i="15"/>
  <c r="G19" i="19"/>
  <c r="L48" i="15"/>
  <c r="K98" i="15"/>
  <c r="K85" i="15"/>
  <c r="K81" i="15"/>
  <c r="E19" i="19"/>
  <c r="L49" i="15"/>
  <c r="G113" i="25" l="1"/>
  <c r="G114" i="25" s="1"/>
  <c r="G52" i="25"/>
  <c r="G54" i="25" s="1"/>
  <c r="G55" i="25" s="1"/>
  <c r="N43" i="25"/>
  <c r="I70" i="21"/>
  <c r="I83" i="21"/>
  <c r="I85" i="21" s="1"/>
  <c r="I62" i="21" s="1"/>
  <c r="J41" i="21"/>
  <c r="J66" i="21" s="1"/>
  <c r="I59" i="25"/>
  <c r="I54" i="25"/>
  <c r="M100" i="25"/>
  <c r="M103" i="25"/>
  <c r="N24" i="15"/>
  <c r="K18" i="21"/>
  <c r="S25" i="15"/>
  <c r="K13" i="21"/>
  <c r="D18" i="18"/>
  <c r="M18" i="25" s="1"/>
  <c r="M24" i="25" s="1"/>
  <c r="L49" i="17"/>
  <c r="K32" i="18"/>
  <c r="T26" i="25" s="1"/>
  <c r="R19" i="21"/>
  <c r="J43" i="17"/>
  <c r="X20" i="15"/>
  <c r="H43" i="17"/>
  <c r="K58" i="22"/>
  <c r="L84" i="21"/>
  <c r="L87" i="21"/>
  <c r="M40" i="21"/>
  <c r="H22" i="18"/>
  <c r="O25" i="25" s="1"/>
  <c r="K100" i="15"/>
  <c r="K77" i="15" s="1"/>
  <c r="L102" i="15"/>
  <c r="L99" i="15"/>
  <c r="G21" i="19"/>
  <c r="M48" i="15"/>
  <c r="L98" i="15"/>
  <c r="L85" i="15"/>
  <c r="L81" i="15"/>
  <c r="E21" i="19"/>
  <c r="M49" i="15"/>
  <c r="J70" i="21" l="1"/>
  <c r="J83" i="21"/>
  <c r="J85" i="21" s="1"/>
  <c r="J62" i="21" s="1"/>
  <c r="K41" i="21"/>
  <c r="K83" i="21" s="1"/>
  <c r="K85" i="21" s="1"/>
  <c r="K62" i="21" s="1"/>
  <c r="I55" i="25"/>
  <c r="N103" i="25"/>
  <c r="N100" i="25"/>
  <c r="O24" i="15"/>
  <c r="L18" i="21"/>
  <c r="T25" i="15"/>
  <c r="E22" i="18"/>
  <c r="D20" i="18"/>
  <c r="N18" i="25" s="1"/>
  <c r="N24" i="25" s="1"/>
  <c r="K34" i="18"/>
  <c r="U26" i="25" s="1"/>
  <c r="S19" i="21"/>
  <c r="L51" i="17"/>
  <c r="J45" i="17"/>
  <c r="Y20" i="15"/>
  <c r="H45" i="17"/>
  <c r="K60" i="22"/>
  <c r="M84" i="21"/>
  <c r="M87" i="21"/>
  <c r="N40" i="21"/>
  <c r="H24" i="18"/>
  <c r="P25" i="25" s="1"/>
  <c r="L100" i="15"/>
  <c r="L77" i="15" s="1"/>
  <c r="G23" i="19"/>
  <c r="N48" i="15"/>
  <c r="M102" i="15"/>
  <c r="M99" i="15"/>
  <c r="E23" i="19"/>
  <c r="N49" i="15"/>
  <c r="M85" i="15"/>
  <c r="M81" i="15"/>
  <c r="M98" i="15"/>
  <c r="L13" i="21" l="1"/>
  <c r="O17" i="25"/>
  <c r="O22" i="25" s="1"/>
  <c r="O30" i="25" s="1"/>
  <c r="K70" i="21"/>
  <c r="K66" i="21"/>
  <c r="L41" i="21"/>
  <c r="L70" i="21" s="1"/>
  <c r="O100" i="25"/>
  <c r="O103" i="25"/>
  <c r="P24" i="15"/>
  <c r="M18" i="21"/>
  <c r="U25" i="15"/>
  <c r="E24" i="18"/>
  <c r="F22" i="18"/>
  <c r="D22" i="18"/>
  <c r="O18" i="25" s="1"/>
  <c r="O24" i="25" s="1"/>
  <c r="O29" i="25" s="1"/>
  <c r="K36" i="18"/>
  <c r="V26" i="25" s="1"/>
  <c r="T19" i="21"/>
  <c r="L53" i="17"/>
  <c r="J47" i="17"/>
  <c r="Z20" i="15"/>
  <c r="H47" i="17"/>
  <c r="K62" i="22"/>
  <c r="N87" i="21"/>
  <c r="N84" i="21"/>
  <c r="O40" i="21"/>
  <c r="H26" i="18"/>
  <c r="Q25" i="25" s="1"/>
  <c r="M100" i="15"/>
  <c r="M77" i="15" s="1"/>
  <c r="N99" i="15"/>
  <c r="N102" i="15"/>
  <c r="G25" i="19"/>
  <c r="O48" i="15"/>
  <c r="N81" i="15"/>
  <c r="N98" i="15"/>
  <c r="N85" i="15"/>
  <c r="E25" i="19"/>
  <c r="O49" i="15"/>
  <c r="M13" i="21" l="1"/>
  <c r="P17" i="25"/>
  <c r="P22" i="25" s="1"/>
  <c r="P30" i="25" s="1"/>
  <c r="L83" i="21"/>
  <c r="L85" i="21" s="1"/>
  <c r="L62" i="21" s="1"/>
  <c r="L66" i="21"/>
  <c r="M41" i="21"/>
  <c r="M83" i="21" s="1"/>
  <c r="M85" i="21" s="1"/>
  <c r="M62" i="21" s="1"/>
  <c r="P103" i="25"/>
  <c r="P100" i="25"/>
  <c r="Q24" i="15"/>
  <c r="N18" i="21"/>
  <c r="F24" i="18"/>
  <c r="V25" i="15"/>
  <c r="K38" i="18"/>
  <c r="E26" i="18"/>
  <c r="D24" i="18"/>
  <c r="P18" i="25" s="1"/>
  <c r="P24" i="25" s="1"/>
  <c r="P29" i="25" s="1"/>
  <c r="U19" i="21"/>
  <c r="L55" i="17"/>
  <c r="J49" i="17"/>
  <c r="AA20" i="15"/>
  <c r="H49" i="17"/>
  <c r="K64" i="22"/>
  <c r="P40" i="21"/>
  <c r="O84" i="21"/>
  <c r="O87" i="21"/>
  <c r="H28" i="18"/>
  <c r="R25" i="25" s="1"/>
  <c r="N100" i="15"/>
  <c r="N77" i="15" s="1"/>
  <c r="O99" i="15"/>
  <c r="O102" i="15"/>
  <c r="G27" i="19"/>
  <c r="P48" i="15"/>
  <c r="O81" i="15"/>
  <c r="O85" i="15"/>
  <c r="O98" i="15"/>
  <c r="E27" i="19"/>
  <c r="P49" i="15"/>
  <c r="K7" i="24" l="1"/>
  <c r="M7" i="24" s="1"/>
  <c r="V19" i="21"/>
  <c r="W26" i="25"/>
  <c r="N13" i="21"/>
  <c r="Q17" i="25"/>
  <c r="Q22" i="25" s="1"/>
  <c r="Q30" i="25" s="1"/>
  <c r="M66" i="21"/>
  <c r="M70" i="21"/>
  <c r="N41" i="21"/>
  <c r="N70" i="21" s="1"/>
  <c r="Q100" i="25"/>
  <c r="Q103" i="25"/>
  <c r="R24" i="15"/>
  <c r="O18" i="21"/>
  <c r="F26" i="18"/>
  <c r="W25" i="15"/>
  <c r="K40" i="18"/>
  <c r="E28" i="18"/>
  <c r="D26" i="18"/>
  <c r="Q18" i="25" s="1"/>
  <c r="Q24" i="25" s="1"/>
  <c r="Q29" i="25" s="1"/>
  <c r="L57" i="17"/>
  <c r="J51" i="17"/>
  <c r="AB20" i="15"/>
  <c r="H51" i="17"/>
  <c r="K66" i="22"/>
  <c r="P84" i="21"/>
  <c r="P87" i="21"/>
  <c r="Q40" i="21"/>
  <c r="H30" i="18"/>
  <c r="S25" i="25" s="1"/>
  <c r="O100" i="15"/>
  <c r="O77" i="15" s="1"/>
  <c r="G29" i="19"/>
  <c r="Q48" i="15"/>
  <c r="P99" i="15"/>
  <c r="P102" i="15"/>
  <c r="E29" i="19"/>
  <c r="Q49" i="15"/>
  <c r="P85" i="15"/>
  <c r="P98" i="15"/>
  <c r="P81" i="15"/>
  <c r="O13" i="21" l="1"/>
  <c r="R17" i="25"/>
  <c r="R22" i="25" s="1"/>
  <c r="R30" i="25" s="1"/>
  <c r="W19" i="21"/>
  <c r="X26" i="25"/>
  <c r="N66" i="21"/>
  <c r="N83" i="21"/>
  <c r="N85" i="21" s="1"/>
  <c r="N62" i="21" s="1"/>
  <c r="O41" i="21"/>
  <c r="O83" i="21" s="1"/>
  <c r="O85" i="21" s="1"/>
  <c r="O62" i="21" s="1"/>
  <c r="R103" i="25"/>
  <c r="R100" i="25"/>
  <c r="S24" i="15"/>
  <c r="P18" i="21"/>
  <c r="F28" i="18"/>
  <c r="K42" i="18"/>
  <c r="X25" i="15"/>
  <c r="E30" i="18"/>
  <c r="D28" i="18"/>
  <c r="R18" i="25" s="1"/>
  <c r="R24" i="25" s="1"/>
  <c r="R29" i="25" s="1"/>
  <c r="L59" i="17"/>
  <c r="J53" i="17"/>
  <c r="AC20" i="15"/>
  <c r="H53" i="17"/>
  <c r="K68" i="22"/>
  <c r="Q84" i="21"/>
  <c r="Q87" i="21"/>
  <c r="R40" i="21"/>
  <c r="H32" i="18"/>
  <c r="T25" i="25" s="1"/>
  <c r="Q99" i="15"/>
  <c r="Q102" i="15"/>
  <c r="G31" i="19"/>
  <c r="R48" i="15"/>
  <c r="P100" i="15"/>
  <c r="P77" i="15" s="1"/>
  <c r="Q85" i="15"/>
  <c r="Q81" i="15"/>
  <c r="Q98" i="15"/>
  <c r="E31" i="19"/>
  <c r="R49" i="15"/>
  <c r="I21" i="15"/>
  <c r="I26" i="15" s="1"/>
  <c r="P13" i="21" l="1"/>
  <c r="S17" i="25"/>
  <c r="S22" i="25" s="1"/>
  <c r="S30" i="25" s="1"/>
  <c r="Y25" i="15"/>
  <c r="Y26" i="25"/>
  <c r="O66" i="21"/>
  <c r="O70" i="21"/>
  <c r="P41" i="21"/>
  <c r="P70" i="21" s="1"/>
  <c r="S100" i="25"/>
  <c r="S103" i="25"/>
  <c r="F30" i="18"/>
  <c r="T24" i="15"/>
  <c r="Q18" i="21"/>
  <c r="K44" i="18"/>
  <c r="X19" i="21"/>
  <c r="D30" i="18"/>
  <c r="S18" i="25" s="1"/>
  <c r="S24" i="25" s="1"/>
  <c r="S29" i="25" s="1"/>
  <c r="I22" i="15"/>
  <c r="I30" i="15"/>
  <c r="L61" i="17"/>
  <c r="J55" i="17"/>
  <c r="AD20" i="15"/>
  <c r="H55" i="17"/>
  <c r="G15" i="21"/>
  <c r="S15" i="21"/>
  <c r="L15" i="21"/>
  <c r="I15" i="21"/>
  <c r="V15" i="21"/>
  <c r="N15" i="21"/>
  <c r="AE15" i="21"/>
  <c r="AG15" i="21"/>
  <c r="T15" i="21"/>
  <c r="O15" i="21"/>
  <c r="Q15" i="21"/>
  <c r="AL15" i="21"/>
  <c r="AH15" i="21"/>
  <c r="AA15" i="21"/>
  <c r="AF15" i="21"/>
  <c r="X15" i="21"/>
  <c r="Z15" i="21"/>
  <c r="AC15" i="21"/>
  <c r="U15" i="21"/>
  <c r="W15" i="21"/>
  <c r="Y15" i="21"/>
  <c r="AB15" i="21"/>
  <c r="AD15" i="21"/>
  <c r="R15" i="21"/>
  <c r="K15" i="21"/>
  <c r="AK15" i="21"/>
  <c r="J15" i="21"/>
  <c r="AJ15" i="21"/>
  <c r="M15" i="21"/>
  <c r="P15" i="21"/>
  <c r="AI15" i="21"/>
  <c r="E16" i="21"/>
  <c r="R87" i="21"/>
  <c r="R84" i="21"/>
  <c r="S40" i="21"/>
  <c r="H34" i="18"/>
  <c r="U25" i="25" s="1"/>
  <c r="Q100" i="15"/>
  <c r="Q77" i="15" s="1"/>
  <c r="R99" i="15"/>
  <c r="R102" i="15"/>
  <c r="G33" i="19"/>
  <c r="S48" i="15"/>
  <c r="R81" i="15"/>
  <c r="R98" i="15"/>
  <c r="R85" i="15"/>
  <c r="E33" i="19"/>
  <c r="S49" i="15"/>
  <c r="Z25" i="15" l="1"/>
  <c r="Z26" i="25"/>
  <c r="Q41" i="21"/>
  <c r="Q70" i="21" s="1"/>
  <c r="P66" i="21"/>
  <c r="P83" i="21"/>
  <c r="P85" i="21" s="1"/>
  <c r="P62" i="21" s="1"/>
  <c r="T103" i="25"/>
  <c r="T100" i="25"/>
  <c r="K46" i="18"/>
  <c r="U24" i="15"/>
  <c r="R18" i="21"/>
  <c r="Y19" i="21"/>
  <c r="L63" i="17"/>
  <c r="J57" i="17"/>
  <c r="AE20" i="15"/>
  <c r="H57" i="17"/>
  <c r="E22" i="21"/>
  <c r="E20" i="21"/>
  <c r="G20" i="21" s="1"/>
  <c r="G34" i="21" s="1"/>
  <c r="G16" i="21"/>
  <c r="G22" i="21" s="1"/>
  <c r="I16" i="21"/>
  <c r="I23" i="21" s="1"/>
  <c r="E23" i="21"/>
  <c r="J16" i="21"/>
  <c r="T40" i="21"/>
  <c r="S87" i="21"/>
  <c r="S84" i="21"/>
  <c r="H36" i="18"/>
  <c r="V25" i="25" s="1"/>
  <c r="R100" i="15"/>
  <c r="R77" i="15" s="1"/>
  <c r="G35" i="19"/>
  <c r="T48" i="15"/>
  <c r="S102" i="15"/>
  <c r="S99" i="15"/>
  <c r="S85" i="15"/>
  <c r="S98" i="15"/>
  <c r="S81" i="15"/>
  <c r="E35" i="19"/>
  <c r="T49" i="15"/>
  <c r="I29" i="15"/>
  <c r="K16" i="15"/>
  <c r="B1" i="16"/>
  <c r="E13" i="17"/>
  <c r="E15" i="17" s="1"/>
  <c r="E17" i="17" s="1"/>
  <c r="E19" i="17" s="1"/>
  <c r="E21" i="17" s="1"/>
  <c r="E23" i="17" s="1"/>
  <c r="E25" i="17" s="1"/>
  <c r="E27" i="17" s="1"/>
  <c r="E29" i="17" s="1"/>
  <c r="E31" i="17" s="1"/>
  <c r="E33" i="17" s="1"/>
  <c r="E35" i="17" s="1"/>
  <c r="E37" i="17" s="1"/>
  <c r="E39" i="17" s="1"/>
  <c r="E41" i="17" s="1"/>
  <c r="E43" i="17" s="1"/>
  <c r="E45" i="17" s="1"/>
  <c r="E47" i="17" s="1"/>
  <c r="E49" i="17" s="1"/>
  <c r="E51" i="17" s="1"/>
  <c r="E53" i="17" s="1"/>
  <c r="E55" i="17" s="1"/>
  <c r="E57" i="17" s="1"/>
  <c r="E59" i="17" s="1"/>
  <c r="E61" i="17" s="1"/>
  <c r="E63" i="17" s="1"/>
  <c r="E65" i="17" s="1"/>
  <c r="E67" i="17" s="1"/>
  <c r="E69" i="17" s="1"/>
  <c r="A14" i="18"/>
  <c r="A16" i="18" s="1"/>
  <c r="A18" i="18" s="1"/>
  <c r="A20" i="18" s="1"/>
  <c r="A22" i="18" s="1"/>
  <c r="A24" i="18" s="1"/>
  <c r="A26" i="18" s="1"/>
  <c r="A28" i="18" s="1"/>
  <c r="A30" i="18" s="1"/>
  <c r="A32" i="18" s="1"/>
  <c r="A34" i="18" s="1"/>
  <c r="A36" i="18" s="1"/>
  <c r="A38" i="18" s="1"/>
  <c r="A40" i="18" s="1"/>
  <c r="A42" i="18" s="1"/>
  <c r="A44" i="18" s="1"/>
  <c r="A46" i="18" s="1"/>
  <c r="A48" i="18" s="1"/>
  <c r="A50" i="18" s="1"/>
  <c r="A52" i="18" s="1"/>
  <c r="A54" i="18" s="1"/>
  <c r="A56" i="18" s="1"/>
  <c r="A58" i="18" s="1"/>
  <c r="A60" i="18" s="1"/>
  <c r="A62" i="18" s="1"/>
  <c r="A64" i="18" s="1"/>
  <c r="A66" i="18" s="1"/>
  <c r="A68" i="18" s="1"/>
  <c r="A70" i="18" s="1"/>
  <c r="A72" i="18" s="1"/>
  <c r="A74" i="18" s="1"/>
  <c r="A76" i="18" s="1"/>
  <c r="A78" i="18" s="1"/>
  <c r="AA25" i="15" l="1"/>
  <c r="AA26" i="25"/>
  <c r="Q66" i="21"/>
  <c r="Q83" i="21"/>
  <c r="Q85" i="21" s="1"/>
  <c r="Q62" i="21" s="1"/>
  <c r="R41" i="21"/>
  <c r="R83" i="21" s="1"/>
  <c r="R85" i="21" s="1"/>
  <c r="R62" i="21" s="1"/>
  <c r="U100" i="25"/>
  <c r="U103" i="25"/>
  <c r="Z19" i="21"/>
  <c r="K48" i="18"/>
  <c r="V24" i="15"/>
  <c r="S18" i="21"/>
  <c r="L65" i="17"/>
  <c r="E71" i="17"/>
  <c r="E73" i="17" s="1"/>
  <c r="E75" i="17" s="1"/>
  <c r="E77" i="17" s="1"/>
  <c r="E79" i="17" s="1"/>
  <c r="J59" i="17"/>
  <c r="AF20" i="15"/>
  <c r="H59" i="17"/>
  <c r="K16" i="21"/>
  <c r="G23" i="21"/>
  <c r="G103" i="21" s="1"/>
  <c r="G75" i="21"/>
  <c r="G102" i="21"/>
  <c r="G76" i="21"/>
  <c r="G48" i="21"/>
  <c r="I22" i="21"/>
  <c r="I20" i="21"/>
  <c r="L26" i="15" s="1"/>
  <c r="J23" i="21"/>
  <c r="J20" i="21"/>
  <c r="M26" i="15" s="1"/>
  <c r="J22" i="21"/>
  <c r="U40" i="21"/>
  <c r="T84" i="21"/>
  <c r="T87" i="21"/>
  <c r="H38" i="18"/>
  <c r="W25" i="25" s="1"/>
  <c r="S100" i="15"/>
  <c r="S77" i="15" s="1"/>
  <c r="T102" i="15"/>
  <c r="T99" i="15"/>
  <c r="G37" i="19"/>
  <c r="U48" i="15"/>
  <c r="E37" i="19"/>
  <c r="U49" i="15"/>
  <c r="T98" i="15"/>
  <c r="T85" i="15"/>
  <c r="T81" i="15"/>
  <c r="L16" i="15"/>
  <c r="A13" i="17"/>
  <c r="A15" i="17" s="1"/>
  <c r="A17" i="17" s="1"/>
  <c r="A19" i="17" s="1"/>
  <c r="A21" i="17" s="1"/>
  <c r="A23" i="17" s="1"/>
  <c r="A25" i="17" s="1"/>
  <c r="A27" i="17" s="1"/>
  <c r="A29" i="17" s="1"/>
  <c r="A31" i="17" s="1"/>
  <c r="A33" i="17" s="1"/>
  <c r="A35" i="17" s="1"/>
  <c r="A37" i="17" s="1"/>
  <c r="A39" i="17" s="1"/>
  <c r="A41" i="17" s="1"/>
  <c r="A43" i="17" s="1"/>
  <c r="A45" i="17" s="1"/>
  <c r="A47" i="17" s="1"/>
  <c r="A49" i="17" s="1"/>
  <c r="A51" i="17" s="1"/>
  <c r="A53" i="17" s="1"/>
  <c r="A55" i="17" s="1"/>
  <c r="A57" i="17" s="1"/>
  <c r="A59" i="17" s="1"/>
  <c r="A61" i="17" s="1"/>
  <c r="A63" i="17" s="1"/>
  <c r="A65" i="17" s="1"/>
  <c r="A67" i="17" s="1"/>
  <c r="A69" i="17" s="1"/>
  <c r="A71" i="17" s="1"/>
  <c r="A73" i="17" s="1"/>
  <c r="A75" i="17" s="1"/>
  <c r="A77" i="17" s="1"/>
  <c r="A79" i="17" s="1"/>
  <c r="AA19" i="21" l="1"/>
  <c r="AB26" i="25"/>
  <c r="R70" i="21"/>
  <c r="R66" i="21"/>
  <c r="S41" i="21"/>
  <c r="S70" i="21" s="1"/>
  <c r="V100" i="25"/>
  <c r="V103" i="25"/>
  <c r="AB25" i="15"/>
  <c r="K50" i="18"/>
  <c r="W24" i="15"/>
  <c r="T18" i="21"/>
  <c r="I34" i="21"/>
  <c r="I76" i="21" s="1"/>
  <c r="I42" i="15"/>
  <c r="I63" i="15" s="1"/>
  <c r="J34" i="21"/>
  <c r="J76" i="21" s="1"/>
  <c r="L67" i="17"/>
  <c r="J61" i="17"/>
  <c r="AG20" i="15"/>
  <c r="H61" i="17"/>
  <c r="L17" i="15"/>
  <c r="L16" i="21"/>
  <c r="G104" i="21"/>
  <c r="G105" i="21" s="1"/>
  <c r="G67" i="21"/>
  <c r="G54" i="21" s="1"/>
  <c r="G71" i="21"/>
  <c r="G56" i="21" s="1"/>
  <c r="G77" i="21"/>
  <c r="K20" i="21"/>
  <c r="N26" i="15" s="1"/>
  <c r="K22" i="21"/>
  <c r="K23" i="21"/>
  <c r="V40" i="21"/>
  <c r="U84" i="21"/>
  <c r="U87" i="21"/>
  <c r="H40" i="18"/>
  <c r="X25" i="25" s="1"/>
  <c r="T100" i="15"/>
  <c r="T77" i="15" s="1"/>
  <c r="U102" i="15"/>
  <c r="U99" i="15"/>
  <c r="G39" i="19"/>
  <c r="V48" i="15"/>
  <c r="U81" i="15"/>
  <c r="U85" i="15"/>
  <c r="U98" i="15"/>
  <c r="E39" i="19"/>
  <c r="V49" i="15"/>
  <c r="M16" i="15"/>
  <c r="B2" i="16"/>
  <c r="G3" i="8"/>
  <c r="A10" i="16"/>
  <c r="A12" i="16" s="1"/>
  <c r="A14" i="16" s="1"/>
  <c r="A16" i="16" s="1"/>
  <c r="A18" i="16" s="1"/>
  <c r="A20" i="16" s="1"/>
  <c r="A22" i="16" s="1"/>
  <c r="A24" i="16" s="1"/>
  <c r="A26" i="16" s="1"/>
  <c r="A28" i="16" s="1"/>
  <c r="A30" i="16" s="1"/>
  <c r="A32" i="16" s="1"/>
  <c r="A34" i="16" s="1"/>
  <c r="A36" i="16" s="1"/>
  <c r="A38" i="16" s="1"/>
  <c r="A40" i="16" s="1"/>
  <c r="A42" i="16" s="1"/>
  <c r="A44" i="16" s="1"/>
  <c r="A46" i="16" s="1"/>
  <c r="A48" i="16" s="1"/>
  <c r="A50" i="16" s="1"/>
  <c r="A52" i="16" s="1"/>
  <c r="A54" i="16" s="1"/>
  <c r="A56" i="16" s="1"/>
  <c r="A58" i="16" s="1"/>
  <c r="A60" i="16" s="1"/>
  <c r="A62" i="16" s="1"/>
  <c r="A64" i="16" s="1"/>
  <c r="AB19" i="21" l="1"/>
  <c r="AC26" i="25"/>
  <c r="S66" i="21"/>
  <c r="S83" i="21"/>
  <c r="S85" i="21" s="1"/>
  <c r="S62" i="21" s="1"/>
  <c r="T41" i="21"/>
  <c r="T66" i="21" s="1"/>
  <c r="W103" i="25"/>
  <c r="W100" i="25"/>
  <c r="AC25" i="15"/>
  <c r="K52" i="18"/>
  <c r="J75" i="21"/>
  <c r="X24" i="15"/>
  <c r="U18" i="21"/>
  <c r="I48" i="21"/>
  <c r="I67" i="21" s="1"/>
  <c r="I54" i="21" s="1"/>
  <c r="I75" i="21"/>
  <c r="B84" i="16"/>
  <c r="B68" i="16"/>
  <c r="B82" i="16"/>
  <c r="B62" i="16"/>
  <c r="B80" i="16"/>
  <c r="B78" i="16"/>
  <c r="B86" i="16"/>
  <c r="B76" i="16"/>
  <c r="B74" i="16"/>
  <c r="B72" i="16"/>
  <c r="B70" i="16"/>
  <c r="A66" i="16"/>
  <c r="A68" i="16" s="1"/>
  <c r="A70" i="16" s="1"/>
  <c r="A72" i="16" s="1"/>
  <c r="A74" i="16" s="1"/>
  <c r="A76" i="16" s="1"/>
  <c r="A78" i="16" s="1"/>
  <c r="A80" i="16" s="1"/>
  <c r="A82" i="16" s="1"/>
  <c r="A84" i="16" s="1"/>
  <c r="A86" i="16" s="1"/>
  <c r="I90" i="15"/>
  <c r="K34" i="21"/>
  <c r="K75" i="21" s="1"/>
  <c r="I91" i="15"/>
  <c r="J48" i="21"/>
  <c r="J71" i="21" s="1"/>
  <c r="J56" i="21" s="1"/>
  <c r="B52" i="16"/>
  <c r="B66" i="16"/>
  <c r="B50" i="16"/>
  <c r="B58" i="16"/>
  <c r="B54" i="16"/>
  <c r="B64" i="16"/>
  <c r="B48" i="16"/>
  <c r="B12" i="16"/>
  <c r="B60" i="16"/>
  <c r="B56" i="16"/>
  <c r="L69" i="17"/>
  <c r="L71" i="17" s="1"/>
  <c r="L23" i="15"/>
  <c r="L28" i="15" s="1"/>
  <c r="J63" i="17"/>
  <c r="AH20" i="15"/>
  <c r="H63" i="17"/>
  <c r="M17" i="15"/>
  <c r="M16" i="21"/>
  <c r="G88" i="21"/>
  <c r="G58" i="21" s="1"/>
  <c r="G91" i="21" s="1"/>
  <c r="G60" i="21" s="1"/>
  <c r="L20" i="21"/>
  <c r="O26" i="15" s="1"/>
  <c r="L22" i="21"/>
  <c r="L23" i="21"/>
  <c r="V84" i="21"/>
  <c r="V87" i="21"/>
  <c r="W40" i="21"/>
  <c r="H42" i="18"/>
  <c r="Y25" i="25" s="1"/>
  <c r="U100" i="15"/>
  <c r="U77" i="15" s="1"/>
  <c r="V102" i="15"/>
  <c r="V99" i="15"/>
  <c r="G41" i="19"/>
  <c r="W48" i="15"/>
  <c r="V81" i="15"/>
  <c r="V85" i="15"/>
  <c r="V98" i="15"/>
  <c r="E41" i="19"/>
  <c r="W49" i="15"/>
  <c r="I86" i="15"/>
  <c r="I71" i="15" s="1"/>
  <c r="I82" i="15"/>
  <c r="I69" i="15" s="1"/>
  <c r="N16" i="15"/>
  <c r="AD25" i="15" l="1"/>
  <c r="AD26" i="25"/>
  <c r="O27" i="25"/>
  <c r="O43" i="25" s="1"/>
  <c r="T70" i="21"/>
  <c r="T83" i="21"/>
  <c r="T85" i="21" s="1"/>
  <c r="T62" i="21" s="1"/>
  <c r="U41" i="21"/>
  <c r="U83" i="21" s="1"/>
  <c r="U85" i="21" s="1"/>
  <c r="U62" i="21" s="1"/>
  <c r="X103" i="25"/>
  <c r="X100" i="25"/>
  <c r="K54" i="18"/>
  <c r="AE26" i="25" s="1"/>
  <c r="AC19" i="21"/>
  <c r="I77" i="21"/>
  <c r="I71" i="21"/>
  <c r="I56" i="21" s="1"/>
  <c r="Y24" i="15"/>
  <c r="V18" i="21"/>
  <c r="K48" i="21"/>
  <c r="K71" i="21" s="1"/>
  <c r="K56" i="21" s="1"/>
  <c r="K76" i="21"/>
  <c r="J67" i="21"/>
  <c r="J54" i="21" s="1"/>
  <c r="I92" i="15"/>
  <c r="J77" i="21"/>
  <c r="L34" i="21"/>
  <c r="L48" i="21" s="1"/>
  <c r="M23" i="15"/>
  <c r="M28" i="15" s="1"/>
  <c r="J65" i="17"/>
  <c r="AI20" i="15"/>
  <c r="H65" i="17"/>
  <c r="N17" i="15"/>
  <c r="N16" i="21"/>
  <c r="G95" i="21"/>
  <c r="G42" i="21" s="1"/>
  <c r="J88" i="21"/>
  <c r="M22" i="21"/>
  <c r="M20" i="21"/>
  <c r="M23" i="21"/>
  <c r="W84" i="21"/>
  <c r="W87" i="21"/>
  <c r="X40" i="21"/>
  <c r="H44" i="18"/>
  <c r="Z25" i="25" s="1"/>
  <c r="V100" i="15"/>
  <c r="V77" i="15" s="1"/>
  <c r="W102" i="15"/>
  <c r="W99" i="15"/>
  <c r="G43" i="19"/>
  <c r="X48" i="15"/>
  <c r="I103" i="15"/>
  <c r="W98" i="15"/>
  <c r="W85" i="15"/>
  <c r="W81" i="15"/>
  <c r="E43" i="19"/>
  <c r="X49" i="15"/>
  <c r="O16" i="15"/>
  <c r="B40" i="16"/>
  <c r="B14" i="16"/>
  <c r="B26" i="16"/>
  <c r="B24" i="16"/>
  <c r="D8" i="16"/>
  <c r="C8" i="16" s="1"/>
  <c r="B22" i="16"/>
  <c r="B36" i="16"/>
  <c r="B20" i="16"/>
  <c r="B18" i="16"/>
  <c r="B16" i="16"/>
  <c r="B34" i="16"/>
  <c r="B44" i="16"/>
  <c r="B8" i="16"/>
  <c r="B32" i="16"/>
  <c r="B38" i="16"/>
  <c r="B42" i="16"/>
  <c r="B46" i="16"/>
  <c r="B28" i="16"/>
  <c r="B10" i="16"/>
  <c r="B30" i="16"/>
  <c r="G49" i="15"/>
  <c r="K56" i="18" l="1"/>
  <c r="AF26" i="25" s="1"/>
  <c r="AD19" i="21"/>
  <c r="P26" i="15"/>
  <c r="P27" i="25"/>
  <c r="P43" i="25" s="1"/>
  <c r="AE25" i="15"/>
  <c r="U70" i="21"/>
  <c r="U66" i="21"/>
  <c r="V41" i="21"/>
  <c r="V83" i="21" s="1"/>
  <c r="V85" i="21" s="1"/>
  <c r="V62" i="21" s="1"/>
  <c r="G58" i="25"/>
  <c r="G59" i="25" s="1"/>
  <c r="G60" i="25"/>
  <c r="G61" i="25" s="1"/>
  <c r="Y103" i="25"/>
  <c r="Y100" i="25"/>
  <c r="I88" i="21"/>
  <c r="I58" i="21" s="1"/>
  <c r="I91" i="21" s="1"/>
  <c r="I60" i="21" s="1"/>
  <c r="I95" i="21" s="1"/>
  <c r="I73" i="15"/>
  <c r="I106" i="15" s="1"/>
  <c r="I75" i="15" s="1"/>
  <c r="I110" i="15" s="1"/>
  <c r="I50" i="15" s="1"/>
  <c r="C7" i="24" s="1"/>
  <c r="Z24" i="15"/>
  <c r="W18" i="21"/>
  <c r="K67" i="21"/>
  <c r="K54" i="21" s="1"/>
  <c r="K77" i="21"/>
  <c r="L75" i="21"/>
  <c r="L76" i="21"/>
  <c r="J58" i="21"/>
  <c r="J91" i="21" s="1"/>
  <c r="J60" i="21" s="1"/>
  <c r="J95" i="21" s="1"/>
  <c r="J42" i="21" s="1"/>
  <c r="M34" i="21"/>
  <c r="M76" i="21" s="1"/>
  <c r="L73" i="17"/>
  <c r="N23" i="15"/>
  <c r="N28" i="15" s="1"/>
  <c r="J67" i="17"/>
  <c r="AJ20" i="15"/>
  <c r="H67" i="17"/>
  <c r="O17" i="15"/>
  <c r="O16" i="21"/>
  <c r="K88" i="21"/>
  <c r="N22" i="21"/>
  <c r="N20" i="21"/>
  <c r="N23" i="21"/>
  <c r="L67" i="21"/>
  <c r="L54" i="21" s="1"/>
  <c r="L71" i="21"/>
  <c r="L56" i="21" s="1"/>
  <c r="X87" i="21"/>
  <c r="X84" i="21"/>
  <c r="Y40" i="21"/>
  <c r="H46" i="18"/>
  <c r="AA25" i="25" s="1"/>
  <c r="W100" i="15"/>
  <c r="W77" i="15" s="1"/>
  <c r="X102" i="15"/>
  <c r="X99" i="15"/>
  <c r="G45" i="19"/>
  <c r="Y48" i="15"/>
  <c r="E45" i="19"/>
  <c r="Y49" i="15"/>
  <c r="X98" i="15"/>
  <c r="X85" i="15"/>
  <c r="X81" i="15"/>
  <c r="P16" i="15"/>
  <c r="D10" i="16"/>
  <c r="D12" i="16" s="1"/>
  <c r="C12" i="16" s="1"/>
  <c r="E12" i="16" s="1"/>
  <c r="E8" i="16"/>
  <c r="B89" i="16"/>
  <c r="K58" i="18" l="1"/>
  <c r="AG26" i="25" s="1"/>
  <c r="AE19" i="21"/>
  <c r="AF25" i="15"/>
  <c r="Q26" i="15"/>
  <c r="Q27" i="25"/>
  <c r="Q43" i="25" s="1"/>
  <c r="O13" i="15"/>
  <c r="O14" i="25"/>
  <c r="M13" i="15"/>
  <c r="M14" i="25"/>
  <c r="V66" i="21"/>
  <c r="V70" i="21"/>
  <c r="W41" i="21"/>
  <c r="W70" i="21" s="1"/>
  <c r="Z103" i="25"/>
  <c r="Z100" i="25"/>
  <c r="J61" i="25"/>
  <c r="J8" i="16"/>
  <c r="K8" i="16" s="1"/>
  <c r="L8" i="16" s="1"/>
  <c r="M8" i="16" s="1"/>
  <c r="N8" i="16" s="1"/>
  <c r="O8" i="16" s="1"/>
  <c r="P8" i="16" s="1"/>
  <c r="Q8" i="16" s="1"/>
  <c r="R8" i="16" s="1"/>
  <c r="S8" i="16" s="1"/>
  <c r="T8" i="16" s="1"/>
  <c r="U8" i="16" s="1"/>
  <c r="J12" i="16"/>
  <c r="I58" i="15"/>
  <c r="I42" i="21"/>
  <c r="K58" i="21"/>
  <c r="K91" i="21" s="1"/>
  <c r="K60" i="21" s="1"/>
  <c r="K95" i="21" s="1"/>
  <c r="K42" i="21" s="1"/>
  <c r="AA24" i="15"/>
  <c r="X18" i="21"/>
  <c r="L77" i="21"/>
  <c r="M75" i="21"/>
  <c r="M48" i="21"/>
  <c r="N34" i="21"/>
  <c r="N48" i="21" s="1"/>
  <c r="L75" i="17"/>
  <c r="O23" i="15"/>
  <c r="J69" i="17"/>
  <c r="AK20" i="15"/>
  <c r="H69" i="17"/>
  <c r="P17" i="15"/>
  <c r="G12" i="16"/>
  <c r="P16" i="21"/>
  <c r="E12" i="21"/>
  <c r="O20" i="21"/>
  <c r="O22" i="21"/>
  <c r="O23" i="21"/>
  <c r="L88" i="21"/>
  <c r="Y84" i="21"/>
  <c r="Y87" i="21"/>
  <c r="Z40" i="21"/>
  <c r="H48" i="18"/>
  <c r="AB25" i="25" s="1"/>
  <c r="X100" i="15"/>
  <c r="X77" i="15" s="1"/>
  <c r="G8" i="16"/>
  <c r="Y102" i="15"/>
  <c r="Y99" i="15"/>
  <c r="G47" i="19"/>
  <c r="Z48" i="15"/>
  <c r="Y85" i="15"/>
  <c r="Y81" i="15"/>
  <c r="Y98" i="15"/>
  <c r="E47" i="19"/>
  <c r="Z49" i="15"/>
  <c r="Q16" i="15"/>
  <c r="D14" i="16"/>
  <c r="D16" i="16" s="1"/>
  <c r="C16" i="16" s="1"/>
  <c r="E16" i="16" s="1"/>
  <c r="C10" i="16"/>
  <c r="E10" i="16" s="1"/>
  <c r="F17" i="12"/>
  <c r="K60" i="18" l="1"/>
  <c r="AH26" i="25" s="1"/>
  <c r="AF19" i="21"/>
  <c r="AG25" i="15"/>
  <c r="R26" i="15"/>
  <c r="R27" i="25"/>
  <c r="R43" i="25" s="1"/>
  <c r="O15" i="15"/>
  <c r="O16" i="25"/>
  <c r="N13" i="15"/>
  <c r="N14" i="25"/>
  <c r="Q13" i="15"/>
  <c r="Q14" i="25"/>
  <c r="M15" i="15"/>
  <c r="M16" i="25"/>
  <c r="W83" i="21"/>
  <c r="W85" i="21" s="1"/>
  <c r="W62" i="21" s="1"/>
  <c r="W66" i="21"/>
  <c r="X41" i="21"/>
  <c r="X70" i="21" s="1"/>
  <c r="AA100" i="25"/>
  <c r="AA103" i="25"/>
  <c r="K61" i="25"/>
  <c r="I61" i="25"/>
  <c r="I8" i="16"/>
  <c r="B30" i="22" s="1"/>
  <c r="N30" i="22" s="1"/>
  <c r="J10" i="16"/>
  <c r="J16" i="16"/>
  <c r="K12" i="16"/>
  <c r="L12" i="16" s="1"/>
  <c r="M12" i="16" s="1"/>
  <c r="N12" i="16" s="1"/>
  <c r="O12" i="16" s="1"/>
  <c r="P12" i="16" s="1"/>
  <c r="Q12" i="16" s="1"/>
  <c r="R12" i="16" s="1"/>
  <c r="S12" i="16" s="1"/>
  <c r="T12" i="16" s="1"/>
  <c r="U12" i="16" s="1"/>
  <c r="I12" i="16" s="1"/>
  <c r="B34" i="22" s="1"/>
  <c r="N34" i="22" s="1"/>
  <c r="N76" i="21"/>
  <c r="AB24" i="15"/>
  <c r="Y18" i="21"/>
  <c r="N75" i="21"/>
  <c r="M77" i="21"/>
  <c r="L58" i="21"/>
  <c r="L91" i="21" s="1"/>
  <c r="L60" i="21" s="1"/>
  <c r="L95" i="21" s="1"/>
  <c r="L42" i="21" s="1"/>
  <c r="M71" i="21"/>
  <c r="M56" i="21" s="1"/>
  <c r="M67" i="21"/>
  <c r="M54" i="21" s="1"/>
  <c r="O34" i="21"/>
  <c r="O48" i="21" s="1"/>
  <c r="AH25" i="15"/>
  <c r="L77" i="17"/>
  <c r="O28" i="15"/>
  <c r="P23" i="15"/>
  <c r="J71" i="17"/>
  <c r="AL20" i="15"/>
  <c r="H71" i="17"/>
  <c r="Q17" i="15"/>
  <c r="L12" i="21"/>
  <c r="K17" i="21" s="1"/>
  <c r="K21" i="21" s="1"/>
  <c r="K35" i="21" s="1"/>
  <c r="J12" i="21"/>
  <c r="I17" i="21" s="1"/>
  <c r="I21" i="21" s="1"/>
  <c r="I35" i="21" s="1"/>
  <c r="I50" i="21" s="1"/>
  <c r="I51" i="21" s="1"/>
  <c r="G16" i="16"/>
  <c r="G12" i="21"/>
  <c r="E17" i="21"/>
  <c r="AG19" i="21"/>
  <c r="K62" i="18"/>
  <c r="AI26" i="25" s="1"/>
  <c r="P20" i="21"/>
  <c r="P22" i="21"/>
  <c r="P23" i="21"/>
  <c r="N71" i="21"/>
  <c r="N56" i="21" s="1"/>
  <c r="N67" i="21"/>
  <c r="N54" i="21" s="1"/>
  <c r="Z87" i="21"/>
  <c r="Z84" i="21"/>
  <c r="AA40" i="21"/>
  <c r="H50" i="18"/>
  <c r="AC25" i="25" s="1"/>
  <c r="G10" i="16"/>
  <c r="E15" i="15"/>
  <c r="Y100" i="15"/>
  <c r="Y77" i="15" s="1"/>
  <c r="Z102" i="15"/>
  <c r="Z99" i="15"/>
  <c r="G49" i="19"/>
  <c r="AA48" i="15"/>
  <c r="E49" i="19"/>
  <c r="AA49" i="15"/>
  <c r="Z85" i="15"/>
  <c r="Z98" i="15"/>
  <c r="Z81" i="15"/>
  <c r="R16" i="15"/>
  <c r="D18" i="16"/>
  <c r="D20" i="16" s="1"/>
  <c r="C14" i="16"/>
  <c r="E14" i="16" s="1"/>
  <c r="X66" i="21" l="1"/>
  <c r="S26" i="15"/>
  <c r="S27" i="25"/>
  <c r="S43" i="25" s="1"/>
  <c r="P13" i="15"/>
  <c r="P14" i="25"/>
  <c r="M31" i="25"/>
  <c r="M23" i="25"/>
  <c r="Q15" i="15"/>
  <c r="Q16" i="25"/>
  <c r="O31" i="25"/>
  <c r="O23" i="25"/>
  <c r="O28" i="25" s="1"/>
  <c r="O44" i="25" s="1"/>
  <c r="N15" i="15"/>
  <c r="N16" i="25"/>
  <c r="X83" i="21"/>
  <c r="X85" i="21" s="1"/>
  <c r="X62" i="21" s="1"/>
  <c r="Y41" i="21"/>
  <c r="Y66" i="21" s="1"/>
  <c r="AB100" i="25"/>
  <c r="AB103" i="25"/>
  <c r="K10" i="16"/>
  <c r="L10" i="16" s="1"/>
  <c r="M10" i="16" s="1"/>
  <c r="N10" i="16" s="1"/>
  <c r="O10" i="16" s="1"/>
  <c r="P10" i="16" s="1"/>
  <c r="Q10" i="16" s="1"/>
  <c r="R10" i="16" s="1"/>
  <c r="S10" i="16" s="1"/>
  <c r="T10" i="16" s="1"/>
  <c r="U10" i="16" s="1"/>
  <c r="I10" i="16" s="1"/>
  <c r="B32" i="22" s="1"/>
  <c r="N32" i="22" s="1"/>
  <c r="J14" i="16"/>
  <c r="K16" i="16"/>
  <c r="L16" i="16" s="1"/>
  <c r="M16" i="16" s="1"/>
  <c r="N16" i="16" s="1"/>
  <c r="O16" i="16" s="1"/>
  <c r="P16" i="16" s="1"/>
  <c r="Q16" i="16" s="1"/>
  <c r="R16" i="16" s="1"/>
  <c r="S16" i="16" s="1"/>
  <c r="T16" i="16" s="1"/>
  <c r="U16" i="16" s="1"/>
  <c r="I16" i="16" s="1"/>
  <c r="B38" i="22" s="1"/>
  <c r="N38" i="22" s="1"/>
  <c r="N77" i="21"/>
  <c r="AC24" i="15"/>
  <c r="Z18" i="21"/>
  <c r="M88" i="21"/>
  <c r="M58" i="21" s="1"/>
  <c r="M91" i="21" s="1"/>
  <c r="M60" i="21" s="1"/>
  <c r="M95" i="21" s="1"/>
  <c r="M42" i="21" s="1"/>
  <c r="O76" i="21"/>
  <c r="O75" i="21"/>
  <c r="P34" i="21"/>
  <c r="P75" i="21" s="1"/>
  <c r="AI25" i="15"/>
  <c r="L79" i="17"/>
  <c r="P28" i="15"/>
  <c r="Q23" i="15"/>
  <c r="J73" i="17"/>
  <c r="AM20" i="15"/>
  <c r="H73" i="17"/>
  <c r="AM19" i="15"/>
  <c r="I79" i="21"/>
  <c r="I49" i="21"/>
  <c r="I68" i="21" s="1"/>
  <c r="I55" i="21" s="1"/>
  <c r="R17" i="15"/>
  <c r="N12" i="21"/>
  <c r="M17" i="21" s="1"/>
  <c r="M21" i="21" s="1"/>
  <c r="M35" i="21" s="1"/>
  <c r="I78" i="21"/>
  <c r="K50" i="21"/>
  <c r="K51" i="21" s="1"/>
  <c r="K49" i="21"/>
  <c r="K78" i="21"/>
  <c r="K79" i="21"/>
  <c r="K12" i="21"/>
  <c r="J17" i="21" s="1"/>
  <c r="J21" i="21" s="1"/>
  <c r="J35" i="21" s="1"/>
  <c r="J49" i="21" s="1"/>
  <c r="I27" i="15"/>
  <c r="I43" i="15" s="1"/>
  <c r="G14" i="16"/>
  <c r="E21" i="21"/>
  <c r="G17" i="21"/>
  <c r="G21" i="21" s="1"/>
  <c r="G35" i="21" s="1"/>
  <c r="AH19" i="21"/>
  <c r="K64" i="18"/>
  <c r="AJ26" i="25" s="1"/>
  <c r="N88" i="21"/>
  <c r="O67" i="21"/>
  <c r="O54" i="21" s="1"/>
  <c r="O71" i="21"/>
  <c r="O56" i="21" s="1"/>
  <c r="AA87" i="21"/>
  <c r="AA84" i="21"/>
  <c r="AB40" i="21"/>
  <c r="H52" i="18"/>
  <c r="AD25" i="25" s="1"/>
  <c r="Z100" i="15"/>
  <c r="Z77" i="15" s="1"/>
  <c r="AA102" i="15"/>
  <c r="AA99" i="15"/>
  <c r="G51" i="19"/>
  <c r="AB48" i="15"/>
  <c r="AA98" i="15"/>
  <c r="AA85" i="15"/>
  <c r="AA81" i="15"/>
  <c r="E51" i="19"/>
  <c r="AB49" i="15"/>
  <c r="E32" i="18"/>
  <c r="T17" i="25" s="1"/>
  <c r="T22" i="25" s="1"/>
  <c r="T30" i="25" s="1"/>
  <c r="S16" i="15"/>
  <c r="C18" i="16"/>
  <c r="E18" i="16" s="1"/>
  <c r="C20" i="16"/>
  <c r="E20" i="16" s="1"/>
  <c r="D22" i="16"/>
  <c r="G98" i="15"/>
  <c r="G48" i="15"/>
  <c r="M28" i="25" l="1"/>
  <c r="M44" i="25" s="1"/>
  <c r="S13" i="15"/>
  <c r="S14" i="25"/>
  <c r="Q31" i="25"/>
  <c r="Q23" i="25"/>
  <c r="Q28" i="25" s="1"/>
  <c r="Q44" i="25" s="1"/>
  <c r="R13" i="15"/>
  <c r="R14" i="25"/>
  <c r="P15" i="15"/>
  <c r="P16" i="25"/>
  <c r="N23" i="25"/>
  <c r="N31" i="25"/>
  <c r="Y83" i="21"/>
  <c r="Y85" i="21" s="1"/>
  <c r="Y62" i="21" s="1"/>
  <c r="Y70" i="21"/>
  <c r="Z41" i="21"/>
  <c r="Z66" i="21" s="1"/>
  <c r="AC103" i="25"/>
  <c r="AC100" i="25"/>
  <c r="J20" i="16"/>
  <c r="J18" i="16"/>
  <c r="Q13" i="21"/>
  <c r="Q16" i="21" s="1"/>
  <c r="F32" i="18"/>
  <c r="K14" i="16"/>
  <c r="L14" i="16" s="1"/>
  <c r="M14" i="16" s="1"/>
  <c r="N14" i="16" s="1"/>
  <c r="O14" i="16" s="1"/>
  <c r="P14" i="16" s="1"/>
  <c r="Q14" i="16" s="1"/>
  <c r="R14" i="16" s="1"/>
  <c r="S14" i="16" s="1"/>
  <c r="T14" i="16" s="1"/>
  <c r="U14" i="16" s="1"/>
  <c r="I14" i="16" s="1"/>
  <c r="N58" i="21"/>
  <c r="N91" i="21" s="1"/>
  <c r="N60" i="21" s="1"/>
  <c r="N95" i="21" s="1"/>
  <c r="N42" i="21" s="1"/>
  <c r="AD24" i="15"/>
  <c r="AA18" i="21"/>
  <c r="P76" i="21"/>
  <c r="P48" i="21"/>
  <c r="P71" i="21" s="1"/>
  <c r="P56" i="21" s="1"/>
  <c r="O77" i="21"/>
  <c r="AJ25" i="15"/>
  <c r="D32" i="18"/>
  <c r="T18" i="25" s="1"/>
  <c r="T24" i="25" s="1"/>
  <c r="T29" i="25" s="1"/>
  <c r="I72" i="21"/>
  <c r="I57" i="21" s="1"/>
  <c r="I80" i="21"/>
  <c r="Q28" i="15"/>
  <c r="R23" i="15"/>
  <c r="J75" i="17"/>
  <c r="AN20" i="15"/>
  <c r="AN19" i="15"/>
  <c r="S17" i="15"/>
  <c r="J78" i="21"/>
  <c r="J79" i="21"/>
  <c r="J50" i="21"/>
  <c r="J51" i="21" s="1"/>
  <c r="M50" i="21"/>
  <c r="M51" i="21" s="1"/>
  <c r="M78" i="21"/>
  <c r="M79" i="21"/>
  <c r="M49" i="21"/>
  <c r="M12" i="21"/>
  <c r="L17" i="21" s="1"/>
  <c r="L21" i="21" s="1"/>
  <c r="L35" i="21" s="1"/>
  <c r="K68" i="21"/>
  <c r="K55" i="21" s="1"/>
  <c r="K80" i="21"/>
  <c r="K72" i="21"/>
  <c r="G18" i="16"/>
  <c r="G20" i="16"/>
  <c r="G79" i="21"/>
  <c r="G50" i="21"/>
  <c r="G51" i="21" s="1"/>
  <c r="G49" i="21"/>
  <c r="G78" i="21"/>
  <c r="J72" i="21"/>
  <c r="J57" i="21" s="1"/>
  <c r="J68" i="21"/>
  <c r="J55" i="21" s="1"/>
  <c r="O88" i="21"/>
  <c r="AI19" i="21"/>
  <c r="K66" i="18"/>
  <c r="AK26" i="25" s="1"/>
  <c r="AC40" i="21"/>
  <c r="AB84" i="21"/>
  <c r="AB87" i="21"/>
  <c r="H54" i="18"/>
  <c r="AE25" i="25" s="1"/>
  <c r="I93" i="15"/>
  <c r="I94" i="15"/>
  <c r="I64" i="15"/>
  <c r="I65" i="15"/>
  <c r="I66" i="15" s="1"/>
  <c r="AA100" i="15"/>
  <c r="AA77" i="15" s="1"/>
  <c r="G53" i="19"/>
  <c r="AC48" i="15"/>
  <c r="AB102" i="15"/>
  <c r="AB99" i="15"/>
  <c r="AB98" i="15"/>
  <c r="AB85" i="15"/>
  <c r="AB81" i="15"/>
  <c r="E53" i="19"/>
  <c r="AC49" i="15"/>
  <c r="E34" i="18"/>
  <c r="U17" i="25" s="1"/>
  <c r="U22" i="25" s="1"/>
  <c r="U30" i="25" s="1"/>
  <c r="T16" i="15"/>
  <c r="C22" i="16"/>
  <c r="E22" i="16" s="1"/>
  <c r="D24" i="16"/>
  <c r="G99" i="15"/>
  <c r="G100" i="15" s="1"/>
  <c r="G77" i="15" s="1"/>
  <c r="G102" i="15"/>
  <c r="G81" i="15"/>
  <c r="G85" i="15"/>
  <c r="N28" i="25" l="1"/>
  <c r="N44" i="25" s="1"/>
  <c r="Z70" i="21"/>
  <c r="P23" i="25"/>
  <c r="P28" i="25" s="1"/>
  <c r="P44" i="25" s="1"/>
  <c r="P31" i="25"/>
  <c r="S15" i="15"/>
  <c r="S16" i="25"/>
  <c r="R15" i="15"/>
  <c r="R16" i="25"/>
  <c r="T13" i="15"/>
  <c r="T14" i="25"/>
  <c r="Z83" i="21"/>
  <c r="Z85" i="21" s="1"/>
  <c r="Z62" i="21" s="1"/>
  <c r="AA41" i="21"/>
  <c r="AA83" i="21" s="1"/>
  <c r="AA85" i="21" s="1"/>
  <c r="AA62" i="21" s="1"/>
  <c r="AD100" i="25"/>
  <c r="AD103" i="25"/>
  <c r="J22" i="16"/>
  <c r="R13" i="21"/>
  <c r="R16" i="21" s="1"/>
  <c r="F34" i="18"/>
  <c r="K20" i="16"/>
  <c r="L20" i="16" s="1"/>
  <c r="M20" i="16" s="1"/>
  <c r="N20" i="16" s="1"/>
  <c r="O20" i="16" s="1"/>
  <c r="P20" i="16" s="1"/>
  <c r="Q20" i="16" s="1"/>
  <c r="R20" i="16" s="1"/>
  <c r="S20" i="16" s="1"/>
  <c r="T20" i="16" s="1"/>
  <c r="U20" i="16" s="1"/>
  <c r="I20" i="16" s="1"/>
  <c r="B42" i="22" s="1"/>
  <c r="N42" i="22" s="1"/>
  <c r="K18" i="16"/>
  <c r="L18" i="16" s="1"/>
  <c r="M18" i="16" s="1"/>
  <c r="N18" i="16" s="1"/>
  <c r="O18" i="16" s="1"/>
  <c r="P18" i="16" s="1"/>
  <c r="Q18" i="16" s="1"/>
  <c r="R18" i="16" s="1"/>
  <c r="S18" i="16" s="1"/>
  <c r="T18" i="16" s="1"/>
  <c r="U18" i="16" s="1"/>
  <c r="I18" i="16" s="1"/>
  <c r="B40" i="22" s="1"/>
  <c r="N40" i="22" s="1"/>
  <c r="B36" i="22"/>
  <c r="N36" i="22" s="1"/>
  <c r="AE24" i="15"/>
  <c r="AB18" i="21"/>
  <c r="O58" i="21"/>
  <c r="O91" i="21" s="1"/>
  <c r="O60" i="21" s="1"/>
  <c r="O95" i="21" s="1"/>
  <c r="O42" i="21" s="1"/>
  <c r="Q23" i="21"/>
  <c r="Q20" i="21"/>
  <c r="Q22" i="21"/>
  <c r="P67" i="21"/>
  <c r="P54" i="21" s="1"/>
  <c r="P77" i="21"/>
  <c r="AK25" i="15"/>
  <c r="D34" i="18"/>
  <c r="U18" i="25" s="1"/>
  <c r="U24" i="25" s="1"/>
  <c r="U29" i="25" s="1"/>
  <c r="AO19" i="15"/>
  <c r="H75" i="17"/>
  <c r="I89" i="21"/>
  <c r="I59" i="21" s="1"/>
  <c r="I92" i="21" s="1"/>
  <c r="I61" i="21" s="1"/>
  <c r="I96" i="21" s="1"/>
  <c r="I97" i="21" s="1"/>
  <c r="I98" i="21" s="1"/>
  <c r="R28" i="15"/>
  <c r="S23" i="15"/>
  <c r="J77" i="17"/>
  <c r="AO20" i="15"/>
  <c r="H77" i="17"/>
  <c r="J80" i="21"/>
  <c r="T17" i="15"/>
  <c r="P12" i="21"/>
  <c r="O17" i="21" s="1"/>
  <c r="O21" i="21" s="1"/>
  <c r="O35" i="21" s="1"/>
  <c r="O79" i="21" s="1"/>
  <c r="O12" i="21"/>
  <c r="N17" i="21" s="1"/>
  <c r="N21" i="21" s="1"/>
  <c r="N35" i="21" s="1"/>
  <c r="M68" i="21"/>
  <c r="M55" i="21" s="1"/>
  <c r="M80" i="21"/>
  <c r="M72" i="21"/>
  <c r="L79" i="21"/>
  <c r="L50" i="21"/>
  <c r="L51" i="21" s="1"/>
  <c r="L49" i="21"/>
  <c r="L78" i="21"/>
  <c r="K57" i="21"/>
  <c r="K89" i="21"/>
  <c r="K59" i="21" s="1"/>
  <c r="G22" i="16"/>
  <c r="J89" i="21"/>
  <c r="G72" i="21"/>
  <c r="G57" i="21" s="1"/>
  <c r="G80" i="21"/>
  <c r="G68" i="21"/>
  <c r="G55" i="21" s="1"/>
  <c r="AJ19" i="21"/>
  <c r="K68" i="18"/>
  <c r="AL26" i="25" s="1"/>
  <c r="P88" i="21"/>
  <c r="AC84" i="21"/>
  <c r="AC87" i="21"/>
  <c r="AD40" i="21"/>
  <c r="H56" i="18"/>
  <c r="AF25" i="25" s="1"/>
  <c r="AB100" i="15"/>
  <c r="AB77" i="15" s="1"/>
  <c r="I95" i="15"/>
  <c r="I87" i="15"/>
  <c r="I72" i="15" s="1"/>
  <c r="I83" i="15"/>
  <c r="I70" i="15" s="1"/>
  <c r="AC102" i="15"/>
  <c r="AC99" i="15"/>
  <c r="G55" i="19"/>
  <c r="AD48" i="15"/>
  <c r="E55" i="19"/>
  <c r="AD49" i="15"/>
  <c r="AC85" i="15"/>
  <c r="AC81" i="15"/>
  <c r="AC98" i="15"/>
  <c r="E36" i="18"/>
  <c r="V17" i="25" s="1"/>
  <c r="V22" i="25" s="1"/>
  <c r="V30" i="25" s="1"/>
  <c r="U16" i="15"/>
  <c r="D26" i="16"/>
  <c r="C24" i="16"/>
  <c r="E24" i="16" s="1"/>
  <c r="D57" i="11"/>
  <c r="C57" i="11"/>
  <c r="B57" i="11"/>
  <c r="D56" i="11"/>
  <c r="C56" i="11"/>
  <c r="B56" i="11"/>
  <c r="D54" i="11"/>
  <c r="C54" i="11"/>
  <c r="B54" i="11"/>
  <c r="D53" i="11"/>
  <c r="C53" i="11"/>
  <c r="B53" i="11"/>
  <c r="D43" i="11"/>
  <c r="C43" i="11"/>
  <c r="B43" i="11"/>
  <c r="D42" i="11"/>
  <c r="C42" i="11"/>
  <c r="B42" i="11"/>
  <c r="D40" i="11"/>
  <c r="C40" i="11"/>
  <c r="B40" i="11"/>
  <c r="D39" i="11"/>
  <c r="C39" i="11"/>
  <c r="B39" i="11"/>
  <c r="D28" i="11"/>
  <c r="C28" i="11"/>
  <c r="B28" i="11"/>
  <c r="D27" i="11"/>
  <c r="C27" i="11"/>
  <c r="B27" i="11"/>
  <c r="D25" i="11"/>
  <c r="C25" i="11"/>
  <c r="B25" i="11"/>
  <c r="D24" i="11"/>
  <c r="C24" i="11"/>
  <c r="B24" i="11"/>
  <c r="T26" i="15" l="1"/>
  <c r="T27" i="25"/>
  <c r="T43" i="25" s="1"/>
  <c r="T15" i="15"/>
  <c r="T16" i="25"/>
  <c r="R31" i="25"/>
  <c r="R23" i="25"/>
  <c r="R28" i="25" s="1"/>
  <c r="R44" i="25" s="1"/>
  <c r="S31" i="25"/>
  <c r="S23" i="25"/>
  <c r="S28" i="25" s="1"/>
  <c r="S44" i="25" s="1"/>
  <c r="U13" i="15"/>
  <c r="U14" i="25"/>
  <c r="AA70" i="21"/>
  <c r="AA66" i="21"/>
  <c r="AB41" i="21"/>
  <c r="AB83" i="21" s="1"/>
  <c r="AB85" i="21" s="1"/>
  <c r="AB62" i="21" s="1"/>
  <c r="AE103" i="25"/>
  <c r="AE100" i="25"/>
  <c r="J24" i="16"/>
  <c r="S13" i="21"/>
  <c r="S16" i="21" s="1"/>
  <c r="F36" i="18"/>
  <c r="K22" i="16"/>
  <c r="L22" i="16" s="1"/>
  <c r="M22" i="16" s="1"/>
  <c r="N22" i="16" s="1"/>
  <c r="O22" i="16" s="1"/>
  <c r="P22" i="16" s="1"/>
  <c r="Q22" i="16" s="1"/>
  <c r="R22" i="16" s="1"/>
  <c r="S22" i="16" s="1"/>
  <c r="T22" i="16" s="1"/>
  <c r="U22" i="16" s="1"/>
  <c r="I22" i="16" s="1"/>
  <c r="B44" i="22" s="1"/>
  <c r="N44" i="22" s="1"/>
  <c r="K92" i="21"/>
  <c r="K61" i="21" s="1"/>
  <c r="K96" i="21" s="1"/>
  <c r="K97" i="21" s="1"/>
  <c r="K98" i="21" s="1"/>
  <c r="P58" i="21"/>
  <c r="P91" i="21" s="1"/>
  <c r="P60" i="21" s="1"/>
  <c r="P95" i="21" s="1"/>
  <c r="P42" i="21" s="1"/>
  <c r="R22" i="21"/>
  <c r="R20" i="21"/>
  <c r="R23" i="21"/>
  <c r="Q34" i="21"/>
  <c r="AF24" i="15"/>
  <c r="AC18" i="21"/>
  <c r="AL25" i="15"/>
  <c r="D36" i="18"/>
  <c r="V18" i="25" s="1"/>
  <c r="V24" i="25" s="1"/>
  <c r="V29" i="25" s="1"/>
  <c r="J59" i="21"/>
  <c r="J92" i="21" s="1"/>
  <c r="J61" i="21" s="1"/>
  <c r="J96" i="21" s="1"/>
  <c r="J97" i="21" s="1"/>
  <c r="J98" i="21" s="1"/>
  <c r="S28" i="15"/>
  <c r="T23" i="15"/>
  <c r="J79" i="17"/>
  <c r="AP20" i="15"/>
  <c r="AP19" i="15"/>
  <c r="O49" i="21"/>
  <c r="O72" i="21" s="1"/>
  <c r="O57" i="21" s="1"/>
  <c r="O78" i="21"/>
  <c r="O50" i="21"/>
  <c r="O51" i="21" s="1"/>
  <c r="U17" i="15"/>
  <c r="Q12" i="21"/>
  <c r="P17" i="21" s="1"/>
  <c r="P21" i="21" s="1"/>
  <c r="P35" i="21" s="1"/>
  <c r="M57" i="21"/>
  <c r="M89" i="21"/>
  <c r="M59" i="21" s="1"/>
  <c r="N78" i="21"/>
  <c r="N50" i="21"/>
  <c r="N51" i="21" s="1"/>
  <c r="N49" i="21"/>
  <c r="N79" i="21"/>
  <c r="L72" i="21"/>
  <c r="L57" i="21" s="1"/>
  <c r="L80" i="21"/>
  <c r="L68" i="21"/>
  <c r="L55" i="21" s="1"/>
  <c r="G24" i="16"/>
  <c r="I43" i="21"/>
  <c r="I44" i="21" s="1"/>
  <c r="I45" i="21" s="1"/>
  <c r="G89" i="21"/>
  <c r="G59" i="21" s="1"/>
  <c r="G92" i="21" s="1"/>
  <c r="G61" i="21" s="1"/>
  <c r="G96" i="21" s="1"/>
  <c r="G97" i="21" s="1"/>
  <c r="G98" i="21" s="1"/>
  <c r="AK19" i="21"/>
  <c r="K70" i="18"/>
  <c r="AM26" i="25" s="1"/>
  <c r="AE40" i="21"/>
  <c r="AD87" i="21"/>
  <c r="AD84" i="21"/>
  <c r="H58" i="18"/>
  <c r="AG25" i="25" s="1"/>
  <c r="I104" i="15"/>
  <c r="I74" i="15" s="1"/>
  <c r="I107" i="15" s="1"/>
  <c r="I76" i="15" s="1"/>
  <c r="I111" i="15" s="1"/>
  <c r="I112" i="15" s="1"/>
  <c r="I113" i="15" s="1"/>
  <c r="AD99" i="15"/>
  <c r="AD102" i="15"/>
  <c r="G57" i="19"/>
  <c r="AE48" i="15"/>
  <c r="AC100" i="15"/>
  <c r="AC77" i="15" s="1"/>
  <c r="AD81" i="15"/>
  <c r="AD98" i="15"/>
  <c r="AD85" i="15"/>
  <c r="E57" i="19"/>
  <c r="AE49" i="15"/>
  <c r="E38" i="18"/>
  <c r="W17" i="25" s="1"/>
  <c r="W22" i="25" s="1"/>
  <c r="W30" i="25" s="1"/>
  <c r="V16" i="15"/>
  <c r="C26" i="16"/>
  <c r="E26" i="16" s="1"/>
  <c r="D28" i="16"/>
  <c r="B11" i="11"/>
  <c r="U26" i="15" l="1"/>
  <c r="U27" i="25"/>
  <c r="U43" i="25" s="1"/>
  <c r="T23" i="25"/>
  <c r="T28" i="25" s="1"/>
  <c r="T44" i="25" s="1"/>
  <c r="T31" i="25"/>
  <c r="V13" i="15"/>
  <c r="V14" i="25"/>
  <c r="U15" i="15"/>
  <c r="U16" i="25"/>
  <c r="AB66" i="21"/>
  <c r="AB70" i="21"/>
  <c r="AC41" i="21"/>
  <c r="AC83" i="21" s="1"/>
  <c r="AC85" i="21" s="1"/>
  <c r="AC62" i="21" s="1"/>
  <c r="AF103" i="25"/>
  <c r="AF100" i="25"/>
  <c r="J26" i="16"/>
  <c r="T13" i="21"/>
  <c r="T16" i="21" s="1"/>
  <c r="F38" i="18"/>
  <c r="K24" i="16"/>
  <c r="L24" i="16" s="1"/>
  <c r="M24" i="16" s="1"/>
  <c r="N24" i="16" s="1"/>
  <c r="O24" i="16" s="1"/>
  <c r="P24" i="16" s="1"/>
  <c r="Q24" i="16" s="1"/>
  <c r="R24" i="16" s="1"/>
  <c r="S24" i="16" s="1"/>
  <c r="T24" i="16" s="1"/>
  <c r="U24" i="16" s="1"/>
  <c r="I24" i="16" s="1"/>
  <c r="M92" i="21"/>
  <c r="M61" i="21" s="1"/>
  <c r="M96" i="21" s="1"/>
  <c r="M97" i="21" s="1"/>
  <c r="M98" i="21" s="1"/>
  <c r="K43" i="21"/>
  <c r="K44" i="21" s="1"/>
  <c r="K45" i="21" s="1"/>
  <c r="S22" i="21"/>
  <c r="S20" i="21"/>
  <c r="S23" i="21"/>
  <c r="Q75" i="21"/>
  <c r="Q48" i="21"/>
  <c r="Q76" i="21"/>
  <c r="R34" i="21"/>
  <c r="R75" i="21" s="1"/>
  <c r="AG24" i="15"/>
  <c r="AD18" i="21"/>
  <c r="K72" i="18"/>
  <c r="AM25" i="15"/>
  <c r="D38" i="18"/>
  <c r="W18" i="25" s="1"/>
  <c r="W24" i="25" s="1"/>
  <c r="W29" i="25" s="1"/>
  <c r="AQ20" i="15"/>
  <c r="AQ19" i="15"/>
  <c r="H79" i="17"/>
  <c r="O80" i="21"/>
  <c r="T28" i="15"/>
  <c r="U23" i="15"/>
  <c r="O89" i="21"/>
  <c r="O68" i="21"/>
  <c r="O55" i="21" s="1"/>
  <c r="V17" i="15"/>
  <c r="L89" i="21"/>
  <c r="L59" i="21" s="1"/>
  <c r="L92" i="21" s="1"/>
  <c r="L61" i="21" s="1"/>
  <c r="R12" i="21"/>
  <c r="Q17" i="21" s="1"/>
  <c r="Q21" i="21" s="1"/>
  <c r="Q35" i="21" s="1"/>
  <c r="N68" i="21"/>
  <c r="N55" i="21" s="1"/>
  <c r="N80" i="21"/>
  <c r="N72" i="21"/>
  <c r="P49" i="21"/>
  <c r="P50" i="21"/>
  <c r="P51" i="21" s="1"/>
  <c r="P79" i="21"/>
  <c r="P78" i="21"/>
  <c r="G26" i="16"/>
  <c r="V16" i="25" s="1"/>
  <c r="J43" i="21"/>
  <c r="J44" i="21" s="1"/>
  <c r="J45" i="21" s="1"/>
  <c r="G43" i="21"/>
  <c r="AL19" i="21"/>
  <c r="AF40" i="21"/>
  <c r="AE87" i="21"/>
  <c r="AE84" i="21"/>
  <c r="I51" i="15"/>
  <c r="D7" i="24" s="1"/>
  <c r="H60" i="18"/>
  <c r="AH25" i="25" s="1"/>
  <c r="AD100" i="15"/>
  <c r="AD77" i="15" s="1"/>
  <c r="AE102" i="15"/>
  <c r="AE99" i="15"/>
  <c r="G59" i="19"/>
  <c r="AF48" i="15"/>
  <c r="AE98" i="15"/>
  <c r="AE81" i="15"/>
  <c r="AE85" i="15"/>
  <c r="E59" i="19"/>
  <c r="AF49" i="15"/>
  <c r="E40" i="18"/>
  <c r="X17" i="25" s="1"/>
  <c r="X22" i="25" s="1"/>
  <c r="X30" i="25" s="1"/>
  <c r="W16" i="15"/>
  <c r="C28" i="16"/>
  <c r="E28" i="16" s="1"/>
  <c r="D30" i="16"/>
  <c r="B3" i="10"/>
  <c r="B3" i="9"/>
  <c r="B1" i="8"/>
  <c r="K74" i="18" l="1"/>
  <c r="AO26" i="25" s="1"/>
  <c r="AN26" i="25"/>
  <c r="V26" i="15"/>
  <c r="V27" i="25"/>
  <c r="V43" i="25" s="1"/>
  <c r="U23" i="25"/>
  <c r="U28" i="25" s="1"/>
  <c r="U44" i="25" s="1"/>
  <c r="U31" i="25"/>
  <c r="V31" i="25"/>
  <c r="V23" i="25"/>
  <c r="V28" i="25" s="1"/>
  <c r="V44" i="25" s="1"/>
  <c r="W13" i="15"/>
  <c r="W14" i="25"/>
  <c r="AC70" i="21"/>
  <c r="AC66" i="21"/>
  <c r="AD41" i="21"/>
  <c r="AD70" i="21" s="1"/>
  <c r="AG103" i="25"/>
  <c r="AG100" i="25"/>
  <c r="K26" i="16"/>
  <c r="L26" i="16" s="1"/>
  <c r="M26" i="16" s="1"/>
  <c r="N26" i="16" s="1"/>
  <c r="O26" i="16" s="1"/>
  <c r="P26" i="16" s="1"/>
  <c r="Q26" i="16" s="1"/>
  <c r="R26" i="16" s="1"/>
  <c r="S26" i="16" s="1"/>
  <c r="T26" i="16" s="1"/>
  <c r="U26" i="16" s="1"/>
  <c r="I26" i="16" s="1"/>
  <c r="B48" i="22" s="1"/>
  <c r="N48" i="22" s="1"/>
  <c r="V15" i="15"/>
  <c r="J28" i="16"/>
  <c r="U13" i="21"/>
  <c r="U16" i="21" s="1"/>
  <c r="F40" i="18"/>
  <c r="B46" i="22"/>
  <c r="N46" i="22" s="1"/>
  <c r="M43" i="21"/>
  <c r="M44" i="21" s="1"/>
  <c r="M45" i="21" s="1"/>
  <c r="I60" i="15"/>
  <c r="Q71" i="21"/>
  <c r="Q56" i="21" s="1"/>
  <c r="Q67" i="21"/>
  <c r="Q54" i="21" s="1"/>
  <c r="Q77" i="21"/>
  <c r="AH24" i="15"/>
  <c r="AE18" i="21"/>
  <c r="S34" i="21"/>
  <c r="S75" i="21" s="1"/>
  <c r="T22" i="21"/>
  <c r="T20" i="21"/>
  <c r="T23" i="21"/>
  <c r="R48" i="21"/>
  <c r="R76" i="21"/>
  <c r="AN25" i="15"/>
  <c r="AM19" i="21"/>
  <c r="D40" i="18"/>
  <c r="X18" i="25" s="1"/>
  <c r="X24" i="25" s="1"/>
  <c r="X29" i="25" s="1"/>
  <c r="O59" i="21"/>
  <c r="O92" i="21" s="1"/>
  <c r="O61" i="21" s="1"/>
  <c r="U28" i="15"/>
  <c r="V23" i="15"/>
  <c r="W17" i="15"/>
  <c r="S12" i="21"/>
  <c r="R17" i="21" s="1"/>
  <c r="R21" i="21" s="1"/>
  <c r="R35" i="21" s="1"/>
  <c r="N57" i="21"/>
  <c r="N89" i="21"/>
  <c r="N59" i="21" s="1"/>
  <c r="Q50" i="21"/>
  <c r="Q51" i="21" s="1"/>
  <c r="Q49" i="21"/>
  <c r="Q79" i="21"/>
  <c r="Q78" i="21"/>
  <c r="L96" i="21"/>
  <c r="L97" i="21" s="1"/>
  <c r="L98" i="21" s="1"/>
  <c r="P80" i="21"/>
  <c r="P72" i="21"/>
  <c r="P57" i="21" s="1"/>
  <c r="P68" i="21"/>
  <c r="P55" i="21" s="1"/>
  <c r="G28" i="16"/>
  <c r="I53" i="15"/>
  <c r="G44" i="21"/>
  <c r="G45" i="21" s="1"/>
  <c r="AF84" i="21"/>
  <c r="AF87" i="21"/>
  <c r="AG40" i="21"/>
  <c r="AE100" i="15"/>
  <c r="AE77" i="15" s="1"/>
  <c r="H62" i="18"/>
  <c r="AI25" i="25" s="1"/>
  <c r="G61" i="19"/>
  <c r="AG48" i="15"/>
  <c r="AF102" i="15"/>
  <c r="AF99" i="15"/>
  <c r="AF81" i="15"/>
  <c r="AF85" i="15"/>
  <c r="AF98" i="15"/>
  <c r="E61" i="19"/>
  <c r="AG49" i="15"/>
  <c r="E42" i="18"/>
  <c r="Y17" i="25" s="1"/>
  <c r="Y22" i="25" s="1"/>
  <c r="Y30" i="25" s="1"/>
  <c r="X16" i="15"/>
  <c r="C30" i="16"/>
  <c r="E30" i="16" s="1"/>
  <c r="D32" i="16"/>
  <c r="C15" i="12"/>
  <c r="B15" i="12"/>
  <c r="D11" i="12"/>
  <c r="D13" i="12"/>
  <c r="B1" i="10"/>
  <c r="B1" i="9"/>
  <c r="D11" i="9" s="1"/>
  <c r="G3" i="9" s="1"/>
  <c r="A12" i="10"/>
  <c r="A14" i="10" s="1"/>
  <c r="A16" i="10" s="1"/>
  <c r="A18" i="10" s="1"/>
  <c r="A20" i="10" s="1"/>
  <c r="A22" i="10" s="1"/>
  <c r="A24" i="10" s="1"/>
  <c r="A26" i="10" s="1"/>
  <c r="A28" i="10" s="1"/>
  <c r="A30" i="10" s="1"/>
  <c r="A32" i="10" s="1"/>
  <c r="A34" i="10" s="1"/>
  <c r="A36" i="10" s="1"/>
  <c r="A38" i="10" s="1"/>
  <c r="A40" i="10" s="1"/>
  <c r="A42" i="10" s="1"/>
  <c r="A44" i="10" s="1"/>
  <c r="A46" i="10" s="1"/>
  <c r="A48" i="10" s="1"/>
  <c r="A50" i="10" s="1"/>
  <c r="A12" i="9"/>
  <c r="A14" i="9" s="1"/>
  <c r="A16" i="9" s="1"/>
  <c r="A18" i="9" s="1"/>
  <c r="A20" i="9" s="1"/>
  <c r="A22" i="9" s="1"/>
  <c r="A24" i="9" s="1"/>
  <c r="A26" i="9" s="1"/>
  <c r="A28" i="9" s="1"/>
  <c r="A30" i="9" s="1"/>
  <c r="A32" i="9" s="1"/>
  <c r="A34" i="9" s="1"/>
  <c r="A36" i="9" s="1"/>
  <c r="A38" i="9" s="1"/>
  <c r="A40" i="9" s="1"/>
  <c r="A42" i="9" s="1"/>
  <c r="A44" i="9" s="1"/>
  <c r="A46" i="9" s="1"/>
  <c r="A48" i="9" s="1"/>
  <c r="A50" i="9" s="1"/>
  <c r="A52" i="9" s="1"/>
  <c r="A54" i="9" s="1"/>
  <c r="A56" i="9" s="1"/>
  <c r="A58" i="9" s="1"/>
  <c r="A60" i="9" s="1"/>
  <c r="D25" i="8"/>
  <c r="A12" i="8"/>
  <c r="A14" i="8" s="1"/>
  <c r="A16" i="8" s="1"/>
  <c r="A18" i="8" s="1"/>
  <c r="A20" i="8" s="1"/>
  <c r="A22" i="8" s="1"/>
  <c r="A24" i="8" s="1"/>
  <c r="A26" i="8" s="1"/>
  <c r="A28" i="8" s="1"/>
  <c r="A30" i="8" s="1"/>
  <c r="A32" i="8" s="1"/>
  <c r="A34" i="8" s="1"/>
  <c r="A36" i="8" s="1"/>
  <c r="A38" i="8" s="1"/>
  <c r="A40" i="8" s="1"/>
  <c r="A42" i="8" s="1"/>
  <c r="A44" i="8" s="1"/>
  <c r="A46" i="8" s="1"/>
  <c r="A48" i="8" s="1"/>
  <c r="A50" i="8" s="1"/>
  <c r="A52" i="8" s="1"/>
  <c r="A54" i="8" s="1"/>
  <c r="A56" i="8" s="1"/>
  <c r="A58" i="8" s="1"/>
  <c r="A60" i="8" s="1"/>
  <c r="A62" i="8" s="1"/>
  <c r="A64" i="8" s="1"/>
  <c r="A66" i="8" s="1"/>
  <c r="A68" i="8" s="1"/>
  <c r="A70" i="8" s="1"/>
  <c r="D50" i="4"/>
  <c r="C50" i="4"/>
  <c r="G51" i="4" s="1"/>
  <c r="I51" i="4" s="1"/>
  <c r="J51" i="4" s="1"/>
  <c r="K51" i="4" s="1"/>
  <c r="D48" i="4"/>
  <c r="C48" i="4"/>
  <c r="D46" i="4"/>
  <c r="C46" i="4"/>
  <c r="D44" i="4"/>
  <c r="C44" i="4"/>
  <c r="D42" i="4"/>
  <c r="C42" i="4"/>
  <c r="G43" i="4" s="1"/>
  <c r="I43" i="4" s="1"/>
  <c r="J43" i="4" s="1"/>
  <c r="K43" i="4" s="1"/>
  <c r="D40" i="4"/>
  <c r="C40" i="4"/>
  <c r="D38" i="4"/>
  <c r="C38" i="4"/>
  <c r="D36" i="4"/>
  <c r="C36" i="4"/>
  <c r="D34" i="4"/>
  <c r="C34" i="4"/>
  <c r="G35" i="4" s="1"/>
  <c r="I35" i="4" s="1"/>
  <c r="J35" i="4" s="1"/>
  <c r="K35" i="4" s="1"/>
  <c r="D32" i="4"/>
  <c r="C32" i="4"/>
  <c r="D30" i="4"/>
  <c r="C30" i="4"/>
  <c r="D28" i="4"/>
  <c r="C28" i="4"/>
  <c r="D26" i="4"/>
  <c r="C26" i="4"/>
  <c r="D24" i="4"/>
  <c r="C24" i="4"/>
  <c r="D22" i="4"/>
  <c r="C22" i="4"/>
  <c r="D20" i="4"/>
  <c r="G21" i="4" s="1"/>
  <c r="I21" i="4" s="1"/>
  <c r="J21" i="4" s="1"/>
  <c r="K21" i="4" s="1"/>
  <c r="C20" i="4"/>
  <c r="D18" i="4"/>
  <c r="C18" i="4"/>
  <c r="G19" i="4" s="1"/>
  <c r="I19" i="4" s="1"/>
  <c r="J19" i="4" s="1"/>
  <c r="K19" i="4" s="1"/>
  <c r="D16" i="4"/>
  <c r="C16" i="4"/>
  <c r="D14" i="4"/>
  <c r="C14" i="4"/>
  <c r="D12" i="4"/>
  <c r="C12" i="4"/>
  <c r="A12" i="4"/>
  <c r="A14" i="4" s="1"/>
  <c r="A16" i="4" s="1"/>
  <c r="A18" i="4" s="1"/>
  <c r="A20" i="4" s="1"/>
  <c r="A22" i="4" s="1"/>
  <c r="A24" i="4" s="1"/>
  <c r="A26" i="4" s="1"/>
  <c r="A28" i="4" s="1"/>
  <c r="A30" i="4" s="1"/>
  <c r="A32" i="4" s="1"/>
  <c r="A34" i="4" s="1"/>
  <c r="A36" i="4" s="1"/>
  <c r="A38" i="4" s="1"/>
  <c r="A40" i="4" s="1"/>
  <c r="A42" i="4" s="1"/>
  <c r="A44" i="4" s="1"/>
  <c r="A46" i="4" s="1"/>
  <c r="A48" i="4" s="1"/>
  <c r="A50" i="4" s="1"/>
  <c r="G11" i="4"/>
  <c r="L11" i="4" s="1"/>
  <c r="E9" i="4"/>
  <c r="E10" i="4" s="1"/>
  <c r="E11" i="4" s="1"/>
  <c r="D70" i="3"/>
  <c r="C70" i="3"/>
  <c r="D68" i="3"/>
  <c r="C68" i="3"/>
  <c r="D66" i="3"/>
  <c r="C66" i="3"/>
  <c r="D64" i="3"/>
  <c r="C64" i="3"/>
  <c r="G65" i="3" s="1"/>
  <c r="I65" i="3" s="1"/>
  <c r="J65" i="3" s="1"/>
  <c r="K65" i="3" s="1"/>
  <c r="D62" i="3"/>
  <c r="C62" i="3"/>
  <c r="D60" i="3"/>
  <c r="C60" i="3"/>
  <c r="D58" i="3"/>
  <c r="C58" i="3"/>
  <c r="D56" i="3"/>
  <c r="C56" i="3"/>
  <c r="D54" i="3"/>
  <c r="C54" i="3"/>
  <c r="D52" i="3"/>
  <c r="C52" i="3"/>
  <c r="D50" i="3"/>
  <c r="C50" i="3"/>
  <c r="D48" i="3"/>
  <c r="C48" i="3"/>
  <c r="D46" i="3"/>
  <c r="C46" i="3"/>
  <c r="D44" i="3"/>
  <c r="C44" i="3"/>
  <c r="D42" i="3"/>
  <c r="C42" i="3"/>
  <c r="D40" i="3"/>
  <c r="C40" i="3"/>
  <c r="D38" i="3"/>
  <c r="C38" i="3"/>
  <c r="D36" i="3"/>
  <c r="C36" i="3"/>
  <c r="D34" i="3"/>
  <c r="C34" i="3"/>
  <c r="D32" i="3"/>
  <c r="C32" i="3"/>
  <c r="D30" i="3"/>
  <c r="C30" i="3"/>
  <c r="D28" i="3"/>
  <c r="C28" i="3"/>
  <c r="D26" i="3"/>
  <c r="C26" i="3"/>
  <c r="D24" i="3"/>
  <c r="C24" i="3"/>
  <c r="D22" i="3"/>
  <c r="C22" i="3"/>
  <c r="D20" i="3"/>
  <c r="C20" i="3"/>
  <c r="D18" i="3"/>
  <c r="C18" i="3"/>
  <c r="D16" i="3"/>
  <c r="C16" i="3"/>
  <c r="D14" i="3"/>
  <c r="D14" i="8" s="1"/>
  <c r="C14" i="3"/>
  <c r="C12" i="3"/>
  <c r="A12" i="3"/>
  <c r="A14" i="3" s="1"/>
  <c r="A16" i="3" s="1"/>
  <c r="A18" i="3" s="1"/>
  <c r="A20" i="3" s="1"/>
  <c r="A22" i="3" s="1"/>
  <c r="A24" i="3" s="1"/>
  <c r="A26" i="3" s="1"/>
  <c r="A28" i="3" s="1"/>
  <c r="A30" i="3" s="1"/>
  <c r="A32" i="3" s="1"/>
  <c r="A34" i="3" s="1"/>
  <c r="A36" i="3" s="1"/>
  <c r="A38" i="3" s="1"/>
  <c r="A40" i="3" s="1"/>
  <c r="A42" i="3" s="1"/>
  <c r="A44" i="3" s="1"/>
  <c r="A46" i="3" s="1"/>
  <c r="A48" i="3" s="1"/>
  <c r="A50" i="3" s="1"/>
  <c r="A52" i="3" s="1"/>
  <c r="A54" i="3" s="1"/>
  <c r="A56" i="3" s="1"/>
  <c r="A58" i="3" s="1"/>
  <c r="A60" i="3" s="1"/>
  <c r="A62" i="3" s="1"/>
  <c r="A64" i="3" s="1"/>
  <c r="A66" i="3" s="1"/>
  <c r="A68" i="3" s="1"/>
  <c r="A70" i="3" s="1"/>
  <c r="E9" i="3"/>
  <c r="E10" i="3" s="1"/>
  <c r="E11" i="3" s="1"/>
  <c r="D60" i="2"/>
  <c r="D58" i="2"/>
  <c r="D56" i="2"/>
  <c r="D54" i="2"/>
  <c r="D52" i="2"/>
  <c r="D50" i="2"/>
  <c r="D48" i="2"/>
  <c r="D46" i="2"/>
  <c r="D44" i="2"/>
  <c r="D42" i="2"/>
  <c r="D40" i="2"/>
  <c r="D38" i="2"/>
  <c r="D36" i="2"/>
  <c r="D34" i="2"/>
  <c r="D32" i="2"/>
  <c r="D30" i="2"/>
  <c r="D28" i="2"/>
  <c r="D26" i="2"/>
  <c r="D24" i="2"/>
  <c r="D22" i="2"/>
  <c r="D20" i="2"/>
  <c r="D18" i="2"/>
  <c r="D16" i="2"/>
  <c r="D14" i="2"/>
  <c r="E9" i="2"/>
  <c r="E10" i="2" s="1"/>
  <c r="E11" i="2" s="1"/>
  <c r="C60" i="2"/>
  <c r="C58" i="2"/>
  <c r="C56" i="2"/>
  <c r="C54" i="2"/>
  <c r="C52" i="2"/>
  <c r="C50" i="2"/>
  <c r="C48" i="2"/>
  <c r="C46" i="2"/>
  <c r="C44" i="2"/>
  <c r="C42" i="2"/>
  <c r="C40" i="2"/>
  <c r="C38" i="2"/>
  <c r="G39" i="2" s="1"/>
  <c r="I39" i="2" s="1"/>
  <c r="J39" i="2" s="1"/>
  <c r="K39" i="2" s="1"/>
  <c r="C36" i="2"/>
  <c r="C34" i="2"/>
  <c r="C32" i="2"/>
  <c r="C30" i="2"/>
  <c r="C28" i="2"/>
  <c r="C26" i="2"/>
  <c r="C24" i="2"/>
  <c r="C22" i="2"/>
  <c r="C20" i="2"/>
  <c r="C18" i="2"/>
  <c r="C16" i="2"/>
  <c r="C14" i="2"/>
  <c r="C12" i="2"/>
  <c r="A12" i="2"/>
  <c r="A14" i="2" s="1"/>
  <c r="A16" i="2" s="1"/>
  <c r="A18" i="2" s="1"/>
  <c r="A20" i="2" s="1"/>
  <c r="A22" i="2" s="1"/>
  <c r="A24" i="2" s="1"/>
  <c r="A26" i="2" s="1"/>
  <c r="A28" i="2" s="1"/>
  <c r="A30" i="2" s="1"/>
  <c r="A32" i="2" s="1"/>
  <c r="A34" i="2" s="1"/>
  <c r="A36" i="2" s="1"/>
  <c r="A38" i="2" s="1"/>
  <c r="A40" i="2" s="1"/>
  <c r="A42" i="2" s="1"/>
  <c r="A44" i="2" s="1"/>
  <c r="A46" i="2" s="1"/>
  <c r="A48" i="2" s="1"/>
  <c r="A50" i="2" s="1"/>
  <c r="A52" i="2" s="1"/>
  <c r="A54" i="2" s="1"/>
  <c r="A56" i="2" s="1"/>
  <c r="A58" i="2" s="1"/>
  <c r="A60" i="2" s="1"/>
  <c r="K76" i="18" l="1"/>
  <c r="AP26" i="25" s="1"/>
  <c r="AN19" i="21"/>
  <c r="AO25" i="15"/>
  <c r="W26" i="15"/>
  <c r="W27" i="25"/>
  <c r="W43" i="25" s="1"/>
  <c r="X13" i="15"/>
  <c r="X14" i="25"/>
  <c r="W15" i="15"/>
  <c r="W16" i="25"/>
  <c r="AD83" i="21"/>
  <c r="AD85" i="21" s="1"/>
  <c r="AD62" i="21" s="1"/>
  <c r="AD66" i="21"/>
  <c r="AE41" i="21"/>
  <c r="AE66" i="21" s="1"/>
  <c r="AH103" i="25"/>
  <c r="AH100" i="25"/>
  <c r="J30" i="16"/>
  <c r="V13" i="21"/>
  <c r="V16" i="21" s="1"/>
  <c r="F42" i="18"/>
  <c r="K28" i="16"/>
  <c r="L28" i="16" s="1"/>
  <c r="M28" i="16" s="1"/>
  <c r="N28" i="16" s="1"/>
  <c r="O28" i="16" s="1"/>
  <c r="P28" i="16" s="1"/>
  <c r="Q28" i="16" s="1"/>
  <c r="R28" i="16" s="1"/>
  <c r="S28" i="16" s="1"/>
  <c r="T28" i="16" s="1"/>
  <c r="U28" i="16" s="1"/>
  <c r="I28" i="16" s="1"/>
  <c r="B50" i="22" s="1"/>
  <c r="N50" i="22" s="1"/>
  <c r="N92" i="21"/>
  <c r="N61" i="21" s="1"/>
  <c r="N96" i="21" s="1"/>
  <c r="N97" i="21" s="1"/>
  <c r="N98" i="21" s="1"/>
  <c r="O96" i="21"/>
  <c r="O97" i="21" s="1"/>
  <c r="O98" i="21" s="1"/>
  <c r="Q88" i="21"/>
  <c r="Q58" i="21" s="1"/>
  <c r="Q91" i="21" s="1"/>
  <c r="Q60" i="21" s="1"/>
  <c r="Q95" i="21" s="1"/>
  <c r="Q42" i="21" s="1"/>
  <c r="L43" i="21"/>
  <c r="L44" i="21" s="1"/>
  <c r="L45" i="21" s="1"/>
  <c r="S48" i="21"/>
  <c r="S76" i="21"/>
  <c r="R71" i="21"/>
  <c r="R56" i="21" s="1"/>
  <c r="R67" i="21"/>
  <c r="R54" i="21" s="1"/>
  <c r="R77" i="21"/>
  <c r="U20" i="21"/>
  <c r="U23" i="21"/>
  <c r="U22" i="21"/>
  <c r="AI24" i="15"/>
  <c r="AF18" i="21"/>
  <c r="T34" i="21"/>
  <c r="AP25" i="15"/>
  <c r="D42" i="18"/>
  <c r="Y18" i="25" s="1"/>
  <c r="Y24" i="25" s="1"/>
  <c r="Y29" i="25" s="1"/>
  <c r="V28" i="15"/>
  <c r="W23" i="15"/>
  <c r="X17" i="15"/>
  <c r="Q68" i="21"/>
  <c r="Q55" i="21" s="1"/>
  <c r="Q80" i="21"/>
  <c r="Q72" i="21"/>
  <c r="T12" i="21"/>
  <c r="S17" i="21" s="1"/>
  <c r="S21" i="21" s="1"/>
  <c r="S35" i="21" s="1"/>
  <c r="R50" i="21"/>
  <c r="R51" i="21" s="1"/>
  <c r="R79" i="21"/>
  <c r="R49" i="21"/>
  <c r="R78" i="21"/>
  <c r="P89" i="21"/>
  <c r="P59" i="21" s="1"/>
  <c r="P92" i="21" s="1"/>
  <c r="P61" i="21" s="1"/>
  <c r="P96" i="21" s="1"/>
  <c r="P97" i="21" s="1"/>
  <c r="P98" i="21" s="1"/>
  <c r="G30" i="16"/>
  <c r="X16" i="25" s="1"/>
  <c r="I54" i="15"/>
  <c r="AH40" i="21"/>
  <c r="AG84" i="21"/>
  <c r="AG87" i="21"/>
  <c r="H64" i="18"/>
  <c r="AJ25" i="25" s="1"/>
  <c r="AF100" i="15"/>
  <c r="AF77" i="15" s="1"/>
  <c r="AG102" i="15"/>
  <c r="AG99" i="15"/>
  <c r="G63" i="19"/>
  <c r="AH48" i="15"/>
  <c r="E63" i="19"/>
  <c r="AH49" i="15"/>
  <c r="AG85" i="15"/>
  <c r="AG98" i="15"/>
  <c r="AG81" i="15"/>
  <c r="E44" i="18"/>
  <c r="Y16" i="15"/>
  <c r="G17" i="2"/>
  <c r="I17" i="2" s="1"/>
  <c r="J17" i="2" s="1"/>
  <c r="K17" i="2" s="1"/>
  <c r="G33" i="2"/>
  <c r="I33" i="2" s="1"/>
  <c r="J33" i="2" s="1"/>
  <c r="K33" i="2" s="1"/>
  <c r="C32" i="16"/>
  <c r="E32" i="16" s="1"/>
  <c r="D34" i="16"/>
  <c r="G49" i="2"/>
  <c r="I49" i="2" s="1"/>
  <c r="J49" i="2" s="1"/>
  <c r="K49" i="2" s="1"/>
  <c r="D15" i="12"/>
  <c r="L9" i="4" s="1"/>
  <c r="G23" i="4"/>
  <c r="I23" i="4" s="1"/>
  <c r="J23" i="4" s="1"/>
  <c r="K23" i="4" s="1"/>
  <c r="G31" i="4"/>
  <c r="I31" i="4" s="1"/>
  <c r="J31" i="4" s="1"/>
  <c r="K31" i="4" s="1"/>
  <c r="G39" i="4"/>
  <c r="I39" i="4" s="1"/>
  <c r="J39" i="4" s="1"/>
  <c r="K39" i="4" s="1"/>
  <c r="G47" i="4"/>
  <c r="I47" i="4" s="1"/>
  <c r="J47" i="4" s="1"/>
  <c r="K47" i="4" s="1"/>
  <c r="M9" i="10"/>
  <c r="M9" i="8"/>
  <c r="L9" i="2"/>
  <c r="L9" i="3"/>
  <c r="G25" i="2"/>
  <c r="I25" i="2" s="1"/>
  <c r="J25" i="2" s="1"/>
  <c r="K25" i="2" s="1"/>
  <c r="G41" i="2"/>
  <c r="I41" i="2" s="1"/>
  <c r="J41" i="2" s="1"/>
  <c r="K41" i="2" s="1"/>
  <c r="G57" i="2"/>
  <c r="I57" i="2" s="1"/>
  <c r="J57" i="2" s="1"/>
  <c r="K57" i="2" s="1"/>
  <c r="D16" i="10"/>
  <c r="G25" i="4"/>
  <c r="I25" i="4" s="1"/>
  <c r="J25" i="4" s="1"/>
  <c r="K25" i="4" s="1"/>
  <c r="G31" i="2"/>
  <c r="I31" i="2" s="1"/>
  <c r="J31" i="2" s="1"/>
  <c r="K31" i="2" s="1"/>
  <c r="G27" i="4"/>
  <c r="I27" i="4" s="1"/>
  <c r="J27" i="4" s="1"/>
  <c r="K27" i="4" s="1"/>
  <c r="D28" i="8"/>
  <c r="C24" i="8"/>
  <c r="D69" i="8"/>
  <c r="D57" i="8"/>
  <c r="C48" i="8"/>
  <c r="D53" i="8"/>
  <c r="C16" i="8"/>
  <c r="C56" i="8"/>
  <c r="D44" i="8"/>
  <c r="C26" i="9"/>
  <c r="C28" i="8"/>
  <c r="D68" i="8"/>
  <c r="D37" i="8"/>
  <c r="D21" i="9"/>
  <c r="C36" i="8"/>
  <c r="C64" i="8"/>
  <c r="D65" i="8"/>
  <c r="D49" i="8"/>
  <c r="D36" i="8"/>
  <c r="D21" i="8"/>
  <c r="C22" i="8"/>
  <c r="C40" i="8"/>
  <c r="C70" i="8"/>
  <c r="D60" i="8"/>
  <c r="D45" i="8"/>
  <c r="D33" i="8"/>
  <c r="D17" i="8"/>
  <c r="C34" i="8"/>
  <c r="C50" i="8"/>
  <c r="D11" i="8"/>
  <c r="D61" i="8"/>
  <c r="D52" i="8"/>
  <c r="D41" i="8"/>
  <c r="D29" i="8"/>
  <c r="D20" i="8"/>
  <c r="C14" i="10"/>
  <c r="D23" i="10"/>
  <c r="C18" i="10"/>
  <c r="D50" i="10"/>
  <c r="D18" i="10"/>
  <c r="C46" i="10"/>
  <c r="D39" i="10"/>
  <c r="C30" i="8"/>
  <c r="C42" i="8"/>
  <c r="C62" i="8"/>
  <c r="D13" i="8"/>
  <c r="D64" i="8"/>
  <c r="D56" i="8"/>
  <c r="D48" i="8"/>
  <c r="D40" i="8"/>
  <c r="D32" i="8"/>
  <c r="D24" i="8"/>
  <c r="D16" i="8"/>
  <c r="C50" i="10"/>
  <c r="D34" i="10"/>
  <c r="C58" i="9"/>
  <c r="E9" i="10"/>
  <c r="E10" i="10" s="1"/>
  <c r="E11" i="10" s="1"/>
  <c r="C28" i="10"/>
  <c r="D53" i="9"/>
  <c r="D47" i="10"/>
  <c r="D31" i="10"/>
  <c r="D15" i="10"/>
  <c r="C32" i="10"/>
  <c r="D37" i="9"/>
  <c r="D42" i="10"/>
  <c r="D26" i="10"/>
  <c r="C34" i="9"/>
  <c r="D49" i="9"/>
  <c r="D33" i="9"/>
  <c r="D17" i="9"/>
  <c r="C42" i="9"/>
  <c r="C20" i="10"/>
  <c r="C38" i="10"/>
  <c r="D10" i="9"/>
  <c r="D45" i="9"/>
  <c r="D29" i="9"/>
  <c r="D13" i="9"/>
  <c r="D46" i="10"/>
  <c r="D38" i="10"/>
  <c r="D30" i="10"/>
  <c r="D22" i="10"/>
  <c r="D14" i="10"/>
  <c r="C18" i="9"/>
  <c r="C50" i="9"/>
  <c r="C12" i="10"/>
  <c r="C26" i="10"/>
  <c r="C40" i="10"/>
  <c r="D57" i="9"/>
  <c r="D41" i="9"/>
  <c r="D25" i="9"/>
  <c r="D11" i="10"/>
  <c r="D43" i="10"/>
  <c r="D35" i="10"/>
  <c r="D27" i="10"/>
  <c r="D19" i="10"/>
  <c r="C12" i="9"/>
  <c r="C24" i="9"/>
  <c r="C40" i="9"/>
  <c r="C56" i="9"/>
  <c r="D60" i="9"/>
  <c r="D52" i="9"/>
  <c r="D44" i="9"/>
  <c r="D36" i="9"/>
  <c r="D28" i="9"/>
  <c r="D20" i="9"/>
  <c r="C16" i="9"/>
  <c r="C32" i="9"/>
  <c r="C48" i="9"/>
  <c r="D56" i="9"/>
  <c r="D48" i="9"/>
  <c r="D40" i="9"/>
  <c r="D32" i="9"/>
  <c r="D24" i="9"/>
  <c r="D16" i="9"/>
  <c r="C16" i="10"/>
  <c r="C22" i="10"/>
  <c r="C34" i="10"/>
  <c r="C42" i="10"/>
  <c r="C48" i="10"/>
  <c r="D10" i="10"/>
  <c r="D49" i="10"/>
  <c r="D45" i="10"/>
  <c r="D41" i="10"/>
  <c r="D37" i="10"/>
  <c r="D33" i="10"/>
  <c r="D29" i="10"/>
  <c r="D25" i="10"/>
  <c r="D21" i="10"/>
  <c r="D17" i="10"/>
  <c r="D13" i="10"/>
  <c r="C24" i="10"/>
  <c r="C30" i="10"/>
  <c r="C36" i="10"/>
  <c r="C44" i="10"/>
  <c r="D12" i="10"/>
  <c r="D48" i="10"/>
  <c r="D44" i="10"/>
  <c r="D40" i="10"/>
  <c r="D36" i="10"/>
  <c r="D32" i="10"/>
  <c r="D28" i="10"/>
  <c r="D24" i="10"/>
  <c r="D20" i="10"/>
  <c r="C20" i="9"/>
  <c r="C28" i="9"/>
  <c r="C36" i="9"/>
  <c r="C44" i="9"/>
  <c r="C52" i="9"/>
  <c r="C60" i="9"/>
  <c r="D59" i="9"/>
  <c r="D55" i="9"/>
  <c r="D51" i="9"/>
  <c r="D47" i="9"/>
  <c r="D43" i="9"/>
  <c r="D39" i="9"/>
  <c r="D35" i="9"/>
  <c r="D31" i="9"/>
  <c r="D27" i="9"/>
  <c r="D23" i="9"/>
  <c r="D19" i="9"/>
  <c r="D15" i="9"/>
  <c r="E9" i="9"/>
  <c r="E10" i="9" s="1"/>
  <c r="E11" i="9" s="1"/>
  <c r="C14" i="9"/>
  <c r="C22" i="9"/>
  <c r="C30" i="9"/>
  <c r="C38" i="9"/>
  <c r="C46" i="9"/>
  <c r="C54" i="9"/>
  <c r="D58" i="9"/>
  <c r="D54" i="9"/>
  <c r="D50" i="9"/>
  <c r="D46" i="9"/>
  <c r="D42" i="9"/>
  <c r="D38" i="9"/>
  <c r="D34" i="9"/>
  <c r="D30" i="9"/>
  <c r="D26" i="9"/>
  <c r="D22" i="9"/>
  <c r="D18" i="9"/>
  <c r="D14" i="9"/>
  <c r="C12" i="8"/>
  <c r="C18" i="8"/>
  <c r="C44" i="8"/>
  <c r="C52" i="8"/>
  <c r="C58" i="8"/>
  <c r="C66" i="8"/>
  <c r="D67" i="8"/>
  <c r="D63" i="8"/>
  <c r="D59" i="8"/>
  <c r="D55" i="8"/>
  <c r="D51" i="8"/>
  <c r="D47" i="8"/>
  <c r="D43" i="8"/>
  <c r="D39" i="8"/>
  <c r="D35" i="8"/>
  <c r="D31" i="8"/>
  <c r="D27" i="8"/>
  <c r="D23" i="8"/>
  <c r="D19" i="8"/>
  <c r="D15" i="8"/>
  <c r="E9" i="8"/>
  <c r="E10" i="8" s="1"/>
  <c r="E11" i="8" s="1"/>
  <c r="C14" i="8"/>
  <c r="C20" i="8"/>
  <c r="C26" i="8"/>
  <c r="C32" i="8"/>
  <c r="C38" i="8"/>
  <c r="C46" i="8"/>
  <c r="C54" i="8"/>
  <c r="C60" i="8"/>
  <c r="C68" i="8"/>
  <c r="D10" i="8"/>
  <c r="D70" i="8"/>
  <c r="D66" i="8"/>
  <c r="D62" i="8"/>
  <c r="D58" i="8"/>
  <c r="D54" i="8"/>
  <c r="D50" i="8"/>
  <c r="D46" i="8"/>
  <c r="D42" i="8"/>
  <c r="D38" i="8"/>
  <c r="D34" i="8"/>
  <c r="D30" i="8"/>
  <c r="D26" i="8"/>
  <c r="D22" i="8"/>
  <c r="D18" i="8"/>
  <c r="G33" i="4"/>
  <c r="I33" i="4" s="1"/>
  <c r="J33" i="4" s="1"/>
  <c r="K33" i="4" s="1"/>
  <c r="E12" i="4"/>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G17" i="4"/>
  <c r="I17" i="4" s="1"/>
  <c r="J17" i="4" s="1"/>
  <c r="K17" i="4" s="1"/>
  <c r="G29" i="4"/>
  <c r="I29" i="4" s="1"/>
  <c r="J29" i="4" s="1"/>
  <c r="K29" i="4" s="1"/>
  <c r="G45" i="4"/>
  <c r="I45" i="4" s="1"/>
  <c r="J45" i="4" s="1"/>
  <c r="K45" i="4" s="1"/>
  <c r="G49" i="4"/>
  <c r="I49" i="4" s="1"/>
  <c r="J49" i="4" s="1"/>
  <c r="K49" i="4" s="1"/>
  <c r="G37" i="4"/>
  <c r="I37" i="4" s="1"/>
  <c r="J37" i="4" s="1"/>
  <c r="K37" i="4" s="1"/>
  <c r="G41" i="4"/>
  <c r="I41" i="4" s="1"/>
  <c r="J41" i="4" s="1"/>
  <c r="K41" i="4" s="1"/>
  <c r="I11" i="4"/>
  <c r="J11" i="4" s="1"/>
  <c r="K11" i="4" s="1"/>
  <c r="D53" i="4"/>
  <c r="G13" i="4"/>
  <c r="C53" i="4"/>
  <c r="G15" i="4"/>
  <c r="G15" i="2"/>
  <c r="G23" i="2"/>
  <c r="I23" i="2" s="1"/>
  <c r="J23" i="2" s="1"/>
  <c r="K23" i="2" s="1"/>
  <c r="G47" i="2"/>
  <c r="I47" i="2" s="1"/>
  <c r="J47" i="2" s="1"/>
  <c r="K47" i="2" s="1"/>
  <c r="G55" i="2"/>
  <c r="I55" i="2" s="1"/>
  <c r="J55" i="2" s="1"/>
  <c r="K55" i="2" s="1"/>
  <c r="E12" i="3"/>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G69" i="3"/>
  <c r="I69" i="3" s="1"/>
  <c r="J69" i="3" s="1"/>
  <c r="K69" i="3" s="1"/>
  <c r="G67" i="3"/>
  <c r="I67" i="3" s="1"/>
  <c r="J67" i="3" s="1"/>
  <c r="K67" i="3" s="1"/>
  <c r="G71" i="3"/>
  <c r="I71" i="3" s="1"/>
  <c r="J71" i="3" s="1"/>
  <c r="K71" i="3" s="1"/>
  <c r="G63" i="3"/>
  <c r="I63" i="3" s="1"/>
  <c r="J63" i="3" s="1"/>
  <c r="K63" i="3" s="1"/>
  <c r="G19" i="3"/>
  <c r="I19" i="3" s="1"/>
  <c r="J19" i="3" s="1"/>
  <c r="K19" i="3" s="1"/>
  <c r="G23" i="3"/>
  <c r="I23" i="3" s="1"/>
  <c r="J23" i="3" s="1"/>
  <c r="K23" i="3" s="1"/>
  <c r="G27" i="3"/>
  <c r="I27" i="3" s="1"/>
  <c r="J27" i="3" s="1"/>
  <c r="K27" i="3" s="1"/>
  <c r="G31" i="3"/>
  <c r="I31" i="3" s="1"/>
  <c r="J31" i="3" s="1"/>
  <c r="K31" i="3" s="1"/>
  <c r="G35" i="3"/>
  <c r="I35" i="3" s="1"/>
  <c r="J35" i="3" s="1"/>
  <c r="K35" i="3" s="1"/>
  <c r="G39" i="3"/>
  <c r="I39" i="3" s="1"/>
  <c r="J39" i="3" s="1"/>
  <c r="K39" i="3" s="1"/>
  <c r="G43" i="3"/>
  <c r="I43" i="3" s="1"/>
  <c r="J43" i="3" s="1"/>
  <c r="K43" i="3" s="1"/>
  <c r="G47" i="3"/>
  <c r="I47" i="3" s="1"/>
  <c r="J47" i="3" s="1"/>
  <c r="K47" i="3" s="1"/>
  <c r="G51" i="3"/>
  <c r="I51" i="3" s="1"/>
  <c r="J51" i="3" s="1"/>
  <c r="K51" i="3" s="1"/>
  <c r="G55" i="3"/>
  <c r="I55" i="3" s="1"/>
  <c r="J55" i="3" s="1"/>
  <c r="K55" i="3" s="1"/>
  <c r="G59" i="3"/>
  <c r="I59" i="3" s="1"/>
  <c r="J59" i="3" s="1"/>
  <c r="K59" i="3" s="1"/>
  <c r="G21" i="3"/>
  <c r="I21" i="3" s="1"/>
  <c r="J21" i="3" s="1"/>
  <c r="K21" i="3" s="1"/>
  <c r="G25" i="3"/>
  <c r="I25" i="3" s="1"/>
  <c r="J25" i="3" s="1"/>
  <c r="K25" i="3" s="1"/>
  <c r="G29" i="3"/>
  <c r="I29" i="3" s="1"/>
  <c r="J29" i="3" s="1"/>
  <c r="K29" i="3" s="1"/>
  <c r="G33" i="3"/>
  <c r="I33" i="3" s="1"/>
  <c r="J33" i="3" s="1"/>
  <c r="K33" i="3" s="1"/>
  <c r="G37" i="3"/>
  <c r="I37" i="3" s="1"/>
  <c r="J37" i="3" s="1"/>
  <c r="K37" i="3" s="1"/>
  <c r="G41" i="3"/>
  <c r="I41" i="3" s="1"/>
  <c r="J41" i="3" s="1"/>
  <c r="K41" i="3" s="1"/>
  <c r="G45" i="3"/>
  <c r="I45" i="3" s="1"/>
  <c r="J45" i="3" s="1"/>
  <c r="K45" i="3" s="1"/>
  <c r="G49" i="3"/>
  <c r="I49" i="3" s="1"/>
  <c r="J49" i="3" s="1"/>
  <c r="K49" i="3" s="1"/>
  <c r="G53" i="3"/>
  <c r="I53" i="3" s="1"/>
  <c r="J53" i="3" s="1"/>
  <c r="K53" i="3" s="1"/>
  <c r="G57" i="3"/>
  <c r="I57" i="3" s="1"/>
  <c r="J57" i="3" s="1"/>
  <c r="K57" i="3" s="1"/>
  <c r="G61" i="3"/>
  <c r="I61" i="3" s="1"/>
  <c r="J61" i="3" s="1"/>
  <c r="K61" i="3" s="1"/>
  <c r="G17" i="3"/>
  <c r="I17" i="3" s="1"/>
  <c r="J17" i="3" s="1"/>
  <c r="K17" i="3" s="1"/>
  <c r="C73" i="3"/>
  <c r="G15" i="3"/>
  <c r="G29" i="2"/>
  <c r="I29" i="2" s="1"/>
  <c r="J29" i="2" s="1"/>
  <c r="K29" i="2" s="1"/>
  <c r="G53" i="2"/>
  <c r="I53" i="2" s="1"/>
  <c r="J53" i="2" s="1"/>
  <c r="K53" i="2" s="1"/>
  <c r="G21" i="2"/>
  <c r="I21" i="2" s="1"/>
  <c r="J21" i="2" s="1"/>
  <c r="K21" i="2" s="1"/>
  <c r="G37" i="2"/>
  <c r="I37" i="2" s="1"/>
  <c r="J37" i="2" s="1"/>
  <c r="K37" i="2" s="1"/>
  <c r="G45" i="2"/>
  <c r="I45" i="2" s="1"/>
  <c r="J45" i="2" s="1"/>
  <c r="K45" i="2" s="1"/>
  <c r="G61" i="2"/>
  <c r="I61" i="2" s="1"/>
  <c r="J61" i="2" s="1"/>
  <c r="K61" i="2" s="1"/>
  <c r="G19" i="2"/>
  <c r="I19" i="2" s="1"/>
  <c r="J19" i="2" s="1"/>
  <c r="K19" i="2" s="1"/>
  <c r="G27" i="2"/>
  <c r="I27" i="2" s="1"/>
  <c r="J27" i="2" s="1"/>
  <c r="K27" i="2" s="1"/>
  <c r="G35" i="2"/>
  <c r="I35" i="2" s="1"/>
  <c r="J35" i="2" s="1"/>
  <c r="K35" i="2" s="1"/>
  <c r="G43" i="2"/>
  <c r="I43" i="2" s="1"/>
  <c r="J43" i="2" s="1"/>
  <c r="K43" i="2" s="1"/>
  <c r="G51" i="2"/>
  <c r="I51" i="2" s="1"/>
  <c r="J51" i="2" s="1"/>
  <c r="K51" i="2" s="1"/>
  <c r="G59" i="2"/>
  <c r="I59" i="2" s="1"/>
  <c r="J59" i="2" s="1"/>
  <c r="K59" i="2" s="1"/>
  <c r="E12" i="2"/>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C63" i="2"/>
  <c r="K78" i="18" l="1"/>
  <c r="AQ26" i="25" s="1"/>
  <c r="AQ25" i="15"/>
  <c r="X26" i="15"/>
  <c r="X27" i="25"/>
  <c r="X43" i="25" s="1"/>
  <c r="F44" i="18"/>
  <c r="Z17" i="25"/>
  <c r="Z22" i="25" s="1"/>
  <c r="Z30" i="25" s="1"/>
  <c r="X31" i="25"/>
  <c r="X23" i="25"/>
  <c r="X28" i="25" s="1"/>
  <c r="X44" i="25" s="1"/>
  <c r="W23" i="25"/>
  <c r="W28" i="25" s="1"/>
  <c r="W44" i="25" s="1"/>
  <c r="W31" i="25"/>
  <c r="Y13" i="15"/>
  <c r="Y14" i="25"/>
  <c r="AE83" i="21"/>
  <c r="AE85" i="21" s="1"/>
  <c r="AE62" i="21" s="1"/>
  <c r="AE70" i="21"/>
  <c r="AF41" i="21"/>
  <c r="AF83" i="21" s="1"/>
  <c r="AF85" i="21" s="1"/>
  <c r="AF62" i="21" s="1"/>
  <c r="AI103" i="25"/>
  <c r="AI100" i="25"/>
  <c r="K30" i="16"/>
  <c r="L30" i="16" s="1"/>
  <c r="M30" i="16" s="1"/>
  <c r="N30" i="16" s="1"/>
  <c r="O30" i="16" s="1"/>
  <c r="P30" i="16" s="1"/>
  <c r="Q30" i="16" s="1"/>
  <c r="R30" i="16" s="1"/>
  <c r="S30" i="16" s="1"/>
  <c r="T30" i="16" s="1"/>
  <c r="U30" i="16" s="1"/>
  <c r="I30" i="16" s="1"/>
  <c r="B52" i="22" s="1"/>
  <c r="N52" i="22" s="1"/>
  <c r="X15" i="15"/>
  <c r="J32" i="16"/>
  <c r="N43" i="21"/>
  <c r="N44" i="21" s="1"/>
  <c r="N45" i="21" s="1"/>
  <c r="W13" i="21"/>
  <c r="W16" i="21" s="1"/>
  <c r="O43" i="21"/>
  <c r="O44" i="21" s="1"/>
  <c r="O45" i="21" s="1"/>
  <c r="R88" i="21"/>
  <c r="R58" i="21" s="1"/>
  <c r="R91" i="21" s="1"/>
  <c r="R60" i="21" s="1"/>
  <c r="R95" i="21" s="1"/>
  <c r="R42" i="21" s="1"/>
  <c r="U34" i="21"/>
  <c r="T76" i="21"/>
  <c r="T75" i="21"/>
  <c r="T48" i="21"/>
  <c r="V22" i="21"/>
  <c r="V20" i="21"/>
  <c r="V23" i="21"/>
  <c r="AJ24" i="15"/>
  <c r="AG18" i="21"/>
  <c r="S77" i="21"/>
  <c r="S67" i="21"/>
  <c r="S54" i="21" s="1"/>
  <c r="S71" i="21"/>
  <c r="S56" i="21" s="1"/>
  <c r="D44" i="18"/>
  <c r="Z18" i="25" s="1"/>
  <c r="Z24" i="25" s="1"/>
  <c r="Z29" i="25" s="1"/>
  <c r="W28" i="15"/>
  <c r="X23" i="15"/>
  <c r="Y17" i="15"/>
  <c r="P43" i="21"/>
  <c r="P44" i="21" s="1"/>
  <c r="P45" i="21" s="1"/>
  <c r="U12" i="21"/>
  <c r="T17" i="21" s="1"/>
  <c r="T21" i="21" s="1"/>
  <c r="T35" i="21" s="1"/>
  <c r="T50" i="21" s="1"/>
  <c r="Q57" i="21"/>
  <c r="Q89" i="21"/>
  <c r="Q59" i="21" s="1"/>
  <c r="R80" i="21"/>
  <c r="R68" i="21"/>
  <c r="R55" i="21" s="1"/>
  <c r="R72" i="21"/>
  <c r="R57" i="21" s="1"/>
  <c r="S79" i="21"/>
  <c r="S50" i="21"/>
  <c r="S51" i="21" s="1"/>
  <c r="S49" i="21"/>
  <c r="S78" i="21"/>
  <c r="G32" i="16"/>
  <c r="AH84" i="21"/>
  <c r="AH87" i="21"/>
  <c r="AI40" i="21"/>
  <c r="H66" i="18"/>
  <c r="AK25" i="25" s="1"/>
  <c r="AG100" i="15"/>
  <c r="AG77" i="15" s="1"/>
  <c r="AH99" i="15"/>
  <c r="AH102" i="15"/>
  <c r="G65" i="19"/>
  <c r="AI48" i="15"/>
  <c r="AH85" i="15"/>
  <c r="AH98" i="15"/>
  <c r="AH81" i="15"/>
  <c r="E65" i="19"/>
  <c r="AI49" i="15"/>
  <c r="E46" i="18"/>
  <c r="Z16" i="15"/>
  <c r="M9" i="9"/>
  <c r="B14" i="11"/>
  <c r="C34" i="16"/>
  <c r="E34" i="16" s="1"/>
  <c r="D36" i="16"/>
  <c r="G57" i="8"/>
  <c r="I57" i="8" s="1"/>
  <c r="J57" i="8" s="1"/>
  <c r="I15" i="3"/>
  <c r="J15" i="3" s="1"/>
  <c r="K15" i="3" s="1"/>
  <c r="L15" i="3"/>
  <c r="I15" i="4"/>
  <c r="J15" i="4" s="1"/>
  <c r="K15" i="4" s="1"/>
  <c r="L15" i="4"/>
  <c r="I13" i="4"/>
  <c r="J13" i="4" s="1"/>
  <c r="K13" i="4" s="1"/>
  <c r="L13" i="4"/>
  <c r="I15" i="2"/>
  <c r="J15" i="2" s="1"/>
  <c r="K15" i="2" s="1"/>
  <c r="L15" i="2"/>
  <c r="G25" i="8"/>
  <c r="I25" i="8" s="1"/>
  <c r="J25" i="8" s="1"/>
  <c r="G69" i="8"/>
  <c r="I69" i="8" s="1"/>
  <c r="J69" i="8" s="1"/>
  <c r="G37" i="8"/>
  <c r="I37" i="8" s="1"/>
  <c r="J37" i="8" s="1"/>
  <c r="G29" i="8"/>
  <c r="I29" i="8" s="1"/>
  <c r="J29" i="8" s="1"/>
  <c r="G43" i="10"/>
  <c r="I43" i="10" s="1"/>
  <c r="J43" i="10" s="1"/>
  <c r="G49" i="8"/>
  <c r="I49" i="8" s="1"/>
  <c r="J49" i="8" s="1"/>
  <c r="G45" i="8"/>
  <c r="I45" i="8" s="1"/>
  <c r="J45" i="8" s="1"/>
  <c r="G65" i="8"/>
  <c r="I65" i="8" s="1"/>
  <c r="J65" i="8" s="1"/>
  <c r="E12" i="9"/>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G15" i="10"/>
  <c r="G61" i="8"/>
  <c r="I61" i="8" s="1"/>
  <c r="J61" i="8" s="1"/>
  <c r="G71" i="8"/>
  <c r="I71" i="8" s="1"/>
  <c r="J71" i="8" s="1"/>
  <c r="E12" i="10"/>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G17" i="8"/>
  <c r="I17" i="8" s="1"/>
  <c r="J17" i="8" s="1"/>
  <c r="G41" i="8"/>
  <c r="I41" i="8" s="1"/>
  <c r="J41" i="8" s="1"/>
  <c r="G21" i="8"/>
  <c r="I21" i="8" s="1"/>
  <c r="J21" i="8" s="1"/>
  <c r="G49" i="9"/>
  <c r="I49" i="9" s="1"/>
  <c r="J49" i="9" s="1"/>
  <c r="G19" i="10"/>
  <c r="I19" i="10" s="1"/>
  <c r="J19" i="10" s="1"/>
  <c r="G43" i="8"/>
  <c r="I43" i="8" s="1"/>
  <c r="J43" i="8" s="1"/>
  <c r="G11" i="8"/>
  <c r="G19" i="8"/>
  <c r="I19" i="8" s="1"/>
  <c r="J19" i="8" s="1"/>
  <c r="G35" i="8"/>
  <c r="I35" i="8" s="1"/>
  <c r="J35" i="8" s="1"/>
  <c r="G51" i="8"/>
  <c r="I51" i="8" s="1"/>
  <c r="J51" i="8" s="1"/>
  <c r="G67" i="8"/>
  <c r="I67" i="8" s="1"/>
  <c r="J67" i="8" s="1"/>
  <c r="G53" i="8"/>
  <c r="I53" i="8" s="1"/>
  <c r="J53" i="8" s="1"/>
  <c r="G23" i="10"/>
  <c r="I23" i="10" s="1"/>
  <c r="J23" i="10" s="1"/>
  <c r="G33" i="9"/>
  <c r="I33" i="9" s="1"/>
  <c r="J33" i="9" s="1"/>
  <c r="G27" i="10"/>
  <c r="I27" i="10" s="1"/>
  <c r="J27" i="10" s="1"/>
  <c r="G51" i="10"/>
  <c r="I51" i="10" s="1"/>
  <c r="J51" i="10" s="1"/>
  <c r="G39" i="9"/>
  <c r="I39" i="9" s="1"/>
  <c r="J39" i="9" s="1"/>
  <c r="G13" i="10"/>
  <c r="G33" i="8"/>
  <c r="I33" i="8" s="1"/>
  <c r="J33" i="8" s="1"/>
  <c r="G59" i="9"/>
  <c r="I59" i="9" s="1"/>
  <c r="J59" i="9" s="1"/>
  <c r="G29" i="9"/>
  <c r="I29" i="9" s="1"/>
  <c r="J29" i="9" s="1"/>
  <c r="G27" i="8"/>
  <c r="I27" i="8" s="1"/>
  <c r="J27" i="8" s="1"/>
  <c r="G19" i="9"/>
  <c r="I19" i="9" s="1"/>
  <c r="J19" i="9" s="1"/>
  <c r="G31" i="10"/>
  <c r="I31" i="10" s="1"/>
  <c r="J31" i="10" s="1"/>
  <c r="G23" i="8"/>
  <c r="I23" i="8" s="1"/>
  <c r="J23" i="8" s="1"/>
  <c r="G55" i="8"/>
  <c r="I55" i="8" s="1"/>
  <c r="J55" i="8" s="1"/>
  <c r="G41" i="10"/>
  <c r="I41" i="10" s="1"/>
  <c r="J41" i="10" s="1"/>
  <c r="G47" i="10"/>
  <c r="I47" i="10" s="1"/>
  <c r="J47" i="10" s="1"/>
  <c r="G61" i="9"/>
  <c r="I61" i="9" s="1"/>
  <c r="J61" i="9" s="1"/>
  <c r="C63" i="9"/>
  <c r="G35" i="9"/>
  <c r="I35" i="9" s="1"/>
  <c r="J35" i="9" s="1"/>
  <c r="G51" i="9"/>
  <c r="I51" i="9" s="1"/>
  <c r="J51" i="9" s="1"/>
  <c r="G47" i="9"/>
  <c r="I47" i="9" s="1"/>
  <c r="J47" i="9" s="1"/>
  <c r="G15" i="9"/>
  <c r="G23" i="9"/>
  <c r="I23" i="9" s="1"/>
  <c r="J23" i="9" s="1"/>
  <c r="G55" i="9"/>
  <c r="I55" i="9" s="1"/>
  <c r="J55" i="9" s="1"/>
  <c r="G45" i="9"/>
  <c r="I45" i="9" s="1"/>
  <c r="J45" i="9" s="1"/>
  <c r="G41" i="9"/>
  <c r="I41" i="9" s="1"/>
  <c r="J41" i="9" s="1"/>
  <c r="G39" i="10"/>
  <c r="I39" i="10" s="1"/>
  <c r="J39" i="10" s="1"/>
  <c r="G47" i="8"/>
  <c r="I47" i="8" s="1"/>
  <c r="J47" i="8" s="1"/>
  <c r="G35" i="10"/>
  <c r="I35" i="10" s="1"/>
  <c r="J35" i="10" s="1"/>
  <c r="G25" i="9"/>
  <c r="I25" i="9" s="1"/>
  <c r="J25" i="9" s="1"/>
  <c r="G57" i="9"/>
  <c r="I57" i="9" s="1"/>
  <c r="J57" i="9" s="1"/>
  <c r="G17" i="9"/>
  <c r="I17" i="9" s="1"/>
  <c r="J17" i="9" s="1"/>
  <c r="G39" i="8"/>
  <c r="I39" i="8" s="1"/>
  <c r="J39" i="8" s="1"/>
  <c r="G15" i="8"/>
  <c r="G31" i="8"/>
  <c r="I31" i="8" s="1"/>
  <c r="J31" i="8" s="1"/>
  <c r="G63" i="8"/>
  <c r="I63" i="8" s="1"/>
  <c r="J63" i="8" s="1"/>
  <c r="C73" i="8"/>
  <c r="G31" i="9"/>
  <c r="I31" i="9" s="1"/>
  <c r="J31" i="9" s="1"/>
  <c r="G53" i="9"/>
  <c r="I53" i="9" s="1"/>
  <c r="J53" i="9" s="1"/>
  <c r="G21" i="9"/>
  <c r="I21" i="9" s="1"/>
  <c r="J21" i="9" s="1"/>
  <c r="G21" i="10"/>
  <c r="I21" i="10" s="1"/>
  <c r="J21" i="10" s="1"/>
  <c r="G37" i="10"/>
  <c r="I37" i="10" s="1"/>
  <c r="J37" i="10" s="1"/>
  <c r="D53" i="10"/>
  <c r="D55" i="10" s="1"/>
  <c r="C53" i="10"/>
  <c r="G27" i="9"/>
  <c r="I27" i="9" s="1"/>
  <c r="J27" i="9" s="1"/>
  <c r="G43" i="9"/>
  <c r="I43" i="9" s="1"/>
  <c r="J43" i="9" s="1"/>
  <c r="G37" i="9"/>
  <c r="I37" i="9" s="1"/>
  <c r="J37" i="9" s="1"/>
  <c r="G29" i="10"/>
  <c r="I29" i="10" s="1"/>
  <c r="J29" i="10" s="1"/>
  <c r="G25" i="10"/>
  <c r="I25" i="10" s="1"/>
  <c r="J25" i="10" s="1"/>
  <c r="G45" i="10"/>
  <c r="I45" i="10" s="1"/>
  <c r="J45" i="10" s="1"/>
  <c r="G11" i="10"/>
  <c r="G17" i="10"/>
  <c r="I17" i="10" s="1"/>
  <c r="J17" i="10" s="1"/>
  <c r="G33" i="10"/>
  <c r="I33" i="10" s="1"/>
  <c r="J33" i="10" s="1"/>
  <c r="G49" i="10"/>
  <c r="I49" i="10" s="1"/>
  <c r="J49" i="10" s="1"/>
  <c r="E12" i="8"/>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E56" i="8" s="1"/>
  <c r="E57" i="8" s="1"/>
  <c r="E58" i="8" s="1"/>
  <c r="E59" i="8" s="1"/>
  <c r="E60" i="8" s="1"/>
  <c r="E61" i="8" s="1"/>
  <c r="E62" i="8" s="1"/>
  <c r="E63" i="8" s="1"/>
  <c r="E64" i="8" s="1"/>
  <c r="E65" i="8" s="1"/>
  <c r="E66" i="8" s="1"/>
  <c r="E67" i="8" s="1"/>
  <c r="E68" i="8" s="1"/>
  <c r="E69" i="8" s="1"/>
  <c r="E70" i="8" s="1"/>
  <c r="G59" i="8"/>
  <c r="I59" i="8" s="1"/>
  <c r="J59" i="8" s="1"/>
  <c r="G11" i="9"/>
  <c r="M11" i="9" s="1"/>
  <c r="B32" i="11" s="1"/>
  <c r="K53" i="4"/>
  <c r="G53" i="4"/>
  <c r="D12" i="3"/>
  <c r="D12" i="8" s="1"/>
  <c r="G11" i="3"/>
  <c r="L11" i="3" s="1"/>
  <c r="G11" i="2"/>
  <c r="D12" i="2"/>
  <c r="Y26" i="15" l="1"/>
  <c r="Y27" i="25"/>
  <c r="Y43" i="25" s="1"/>
  <c r="F46" i="18"/>
  <c r="AA17" i="25"/>
  <c r="AA22" i="25" s="1"/>
  <c r="AA30" i="25" s="1"/>
  <c r="Z13" i="15"/>
  <c r="Z14" i="25"/>
  <c r="Y15" i="15"/>
  <c r="Y16" i="25"/>
  <c r="AF66" i="21"/>
  <c r="AF70" i="21"/>
  <c r="AG41" i="21"/>
  <c r="AG66" i="21" s="1"/>
  <c r="AJ100" i="25"/>
  <c r="AJ103" i="25"/>
  <c r="J34" i="16"/>
  <c r="K32" i="16"/>
  <c r="L32" i="16" s="1"/>
  <c r="M32" i="16" s="1"/>
  <c r="N32" i="16" s="1"/>
  <c r="O32" i="16" s="1"/>
  <c r="P32" i="16" s="1"/>
  <c r="Q32" i="16" s="1"/>
  <c r="R32" i="16" s="1"/>
  <c r="S32" i="16" s="1"/>
  <c r="T32" i="16" s="1"/>
  <c r="U32" i="16" s="1"/>
  <c r="I32" i="16" s="1"/>
  <c r="B54" i="22" s="1"/>
  <c r="N54" i="22" s="1"/>
  <c r="Q92" i="21"/>
  <c r="Q61" i="21" s="1"/>
  <c r="Q96" i="21" s="1"/>
  <c r="Q97" i="21" s="1"/>
  <c r="Q98" i="21" s="1"/>
  <c r="W22" i="21"/>
  <c r="W23" i="21"/>
  <c r="W20" i="21"/>
  <c r="Z27" i="25" s="1"/>
  <c r="Z43" i="25" s="1"/>
  <c r="X13" i="21"/>
  <c r="X16" i="21" s="1"/>
  <c r="S88" i="21"/>
  <c r="S58" i="21" s="1"/>
  <c r="S91" i="21" s="1"/>
  <c r="S60" i="21" s="1"/>
  <c r="S95" i="21" s="1"/>
  <c r="S42" i="21" s="1"/>
  <c r="T67" i="21"/>
  <c r="T54" i="21" s="1"/>
  <c r="T71" i="21"/>
  <c r="T56" i="21" s="1"/>
  <c r="T77" i="21"/>
  <c r="AK24" i="15"/>
  <c r="AH18" i="21"/>
  <c r="T51" i="21"/>
  <c r="V34" i="21"/>
  <c r="U75" i="21"/>
  <c r="U48" i="21"/>
  <c r="U76" i="21"/>
  <c r="D46" i="18"/>
  <c r="AA18" i="25" s="1"/>
  <c r="AA24" i="25" s="1"/>
  <c r="AA29" i="25" s="1"/>
  <c r="X28" i="15"/>
  <c r="Y23" i="15"/>
  <c r="R89" i="21"/>
  <c r="R59" i="21" s="1"/>
  <c r="R92" i="21" s="1"/>
  <c r="R61" i="21" s="1"/>
  <c r="Z17" i="15"/>
  <c r="T49" i="21"/>
  <c r="T68" i="21" s="1"/>
  <c r="T55" i="21" s="1"/>
  <c r="T79" i="21"/>
  <c r="S80" i="21"/>
  <c r="S72" i="21"/>
  <c r="S68" i="21"/>
  <c r="S55" i="21" s="1"/>
  <c r="V12" i="21"/>
  <c r="U17" i="21" s="1"/>
  <c r="U21" i="21" s="1"/>
  <c r="U35" i="21" s="1"/>
  <c r="T78" i="21"/>
  <c r="G34" i="16"/>
  <c r="AJ40" i="21"/>
  <c r="AI84" i="21"/>
  <c r="AI87" i="21"/>
  <c r="AH100" i="15"/>
  <c r="AH77" i="15" s="1"/>
  <c r="H68" i="18"/>
  <c r="AL25" i="25" s="1"/>
  <c r="AI99" i="15"/>
  <c r="AI102" i="15"/>
  <c r="G67" i="19"/>
  <c r="AJ48" i="15"/>
  <c r="E67" i="19"/>
  <c r="AJ49" i="15"/>
  <c r="AI98" i="15"/>
  <c r="AI85" i="15"/>
  <c r="AI81" i="15"/>
  <c r="E48" i="18"/>
  <c r="AA16" i="15"/>
  <c r="C36" i="16"/>
  <c r="E36" i="16" s="1"/>
  <c r="D38" i="16"/>
  <c r="K21" i="9"/>
  <c r="L21" i="9"/>
  <c r="L47" i="10"/>
  <c r="K47" i="10"/>
  <c r="K49" i="9"/>
  <c r="L49" i="9"/>
  <c r="K37" i="9"/>
  <c r="L37" i="9"/>
  <c r="K53" i="9"/>
  <c r="L53" i="9"/>
  <c r="K57" i="9"/>
  <c r="L57" i="9"/>
  <c r="L23" i="9"/>
  <c r="K23" i="9"/>
  <c r="L41" i="10"/>
  <c r="K41" i="10"/>
  <c r="K33" i="8"/>
  <c r="L33" i="8"/>
  <c r="L67" i="8"/>
  <c r="K67" i="8"/>
  <c r="L21" i="8"/>
  <c r="K21" i="8"/>
  <c r="K65" i="8"/>
  <c r="L65" i="8"/>
  <c r="L57" i="8"/>
  <c r="K57" i="8"/>
  <c r="L49" i="10"/>
  <c r="K49" i="10"/>
  <c r="K43" i="9"/>
  <c r="L43" i="9"/>
  <c r="L31" i="9"/>
  <c r="K31" i="9"/>
  <c r="K25" i="9"/>
  <c r="L25" i="9"/>
  <c r="K55" i="8"/>
  <c r="L55" i="8"/>
  <c r="L51" i="8"/>
  <c r="K51" i="8"/>
  <c r="K41" i="8"/>
  <c r="L41" i="8"/>
  <c r="L45" i="8"/>
  <c r="K45" i="8"/>
  <c r="K17" i="9"/>
  <c r="L17" i="9"/>
  <c r="L59" i="9"/>
  <c r="K59" i="9"/>
  <c r="L47" i="9"/>
  <c r="K47" i="9"/>
  <c r="L39" i="9"/>
  <c r="K39" i="9"/>
  <c r="K49" i="8"/>
  <c r="L49" i="8"/>
  <c r="L51" i="9"/>
  <c r="K51" i="9"/>
  <c r="L59" i="8"/>
  <c r="K59" i="8"/>
  <c r="L55" i="9"/>
  <c r="K55" i="9"/>
  <c r="L33" i="10"/>
  <c r="K33" i="10"/>
  <c r="L27" i="9"/>
  <c r="K27" i="9"/>
  <c r="L35" i="10"/>
  <c r="K35" i="10"/>
  <c r="K23" i="8"/>
  <c r="L23" i="8"/>
  <c r="K35" i="8"/>
  <c r="L35" i="8"/>
  <c r="K17" i="8"/>
  <c r="L17" i="8"/>
  <c r="L17" i="10"/>
  <c r="K17" i="10"/>
  <c r="K63" i="8"/>
  <c r="L63" i="8"/>
  <c r="K47" i="8"/>
  <c r="L47" i="8"/>
  <c r="L31" i="10"/>
  <c r="K31" i="10"/>
  <c r="L51" i="10"/>
  <c r="K51" i="10"/>
  <c r="L19" i="8"/>
  <c r="K19" i="8"/>
  <c r="K43" i="10"/>
  <c r="L43" i="10"/>
  <c r="K31" i="8"/>
  <c r="L31" i="8"/>
  <c r="L39" i="10"/>
  <c r="K39" i="10"/>
  <c r="L35" i="9"/>
  <c r="K35" i="9"/>
  <c r="K19" i="9"/>
  <c r="L19" i="9"/>
  <c r="K27" i="10"/>
  <c r="L27" i="10"/>
  <c r="K71" i="8"/>
  <c r="L71" i="8"/>
  <c r="L29" i="8"/>
  <c r="K29" i="8"/>
  <c r="L29" i="10"/>
  <c r="K29" i="10"/>
  <c r="L53" i="8"/>
  <c r="K53" i="8"/>
  <c r="L45" i="10"/>
  <c r="K45" i="10"/>
  <c r="L37" i="10"/>
  <c r="K37" i="10"/>
  <c r="L41" i="9"/>
  <c r="K41" i="9"/>
  <c r="L27" i="8"/>
  <c r="K27" i="8"/>
  <c r="K33" i="9"/>
  <c r="L33" i="9"/>
  <c r="K43" i="8"/>
  <c r="L43" i="8"/>
  <c r="L61" i="8"/>
  <c r="K61" i="8"/>
  <c r="L37" i="8"/>
  <c r="K37" i="8"/>
  <c r="L25" i="10"/>
  <c r="K25" i="10"/>
  <c r="L21" i="10"/>
  <c r="K21" i="10"/>
  <c r="L39" i="8"/>
  <c r="K39" i="8"/>
  <c r="K45" i="9"/>
  <c r="L45" i="9"/>
  <c r="K61" i="9"/>
  <c r="L61" i="9"/>
  <c r="K29" i="9"/>
  <c r="L29" i="9"/>
  <c r="L23" i="10"/>
  <c r="K23" i="10"/>
  <c r="L19" i="10"/>
  <c r="K19" i="10"/>
  <c r="K69" i="8"/>
  <c r="L69" i="8"/>
  <c r="K25" i="8"/>
  <c r="L25" i="8"/>
  <c r="I11" i="2"/>
  <c r="J11" i="2" s="1"/>
  <c r="L11" i="2"/>
  <c r="G13" i="3"/>
  <c r="I11" i="10"/>
  <c r="J11" i="10" s="1"/>
  <c r="M11" i="10"/>
  <c r="I15" i="8"/>
  <c r="J15" i="8" s="1"/>
  <c r="M15" i="8"/>
  <c r="D18" i="11" s="1"/>
  <c r="I15" i="9"/>
  <c r="J15" i="9" s="1"/>
  <c r="M15" i="9"/>
  <c r="D32" i="11" s="1"/>
  <c r="I11" i="8"/>
  <c r="J11" i="8" s="1"/>
  <c r="B19" i="11" s="1"/>
  <c r="M11" i="8"/>
  <c r="B18" i="11" s="1"/>
  <c r="I13" i="10"/>
  <c r="J13" i="10" s="1"/>
  <c r="M13" i="10"/>
  <c r="I15" i="10"/>
  <c r="M15" i="10"/>
  <c r="G53" i="10"/>
  <c r="G13" i="2"/>
  <c r="D12" i="9"/>
  <c r="G13" i="9" s="1"/>
  <c r="I11" i="9"/>
  <c r="G73" i="3"/>
  <c r="I11" i="3"/>
  <c r="J11" i="3" s="1"/>
  <c r="K11" i="3" s="1"/>
  <c r="D73" i="3"/>
  <c r="D63" i="2"/>
  <c r="K11" i="2"/>
  <c r="F48" i="18" l="1"/>
  <c r="AB17" i="25"/>
  <c r="AB22" i="25" s="1"/>
  <c r="AB30" i="25" s="1"/>
  <c r="AA13" i="15"/>
  <c r="AA14" i="25"/>
  <c r="Z15" i="15"/>
  <c r="Z16" i="25"/>
  <c r="Y23" i="25"/>
  <c r="Y28" i="25" s="1"/>
  <c r="Y44" i="25" s="1"/>
  <c r="Y31" i="25"/>
  <c r="AG83" i="21"/>
  <c r="AG85" i="21" s="1"/>
  <c r="AG62" i="21" s="1"/>
  <c r="AG70" i="21"/>
  <c r="AH41" i="21"/>
  <c r="AH66" i="21" s="1"/>
  <c r="AK100" i="25"/>
  <c r="AK103" i="25"/>
  <c r="K34" i="16"/>
  <c r="L34" i="16" s="1"/>
  <c r="M34" i="16" s="1"/>
  <c r="N34" i="16" s="1"/>
  <c r="O34" i="16" s="1"/>
  <c r="P34" i="16" s="1"/>
  <c r="Q34" i="16" s="1"/>
  <c r="R34" i="16" s="1"/>
  <c r="S34" i="16" s="1"/>
  <c r="T34" i="16" s="1"/>
  <c r="U34" i="16" s="1"/>
  <c r="I34" i="16" s="1"/>
  <c r="B56" i="22" s="1"/>
  <c r="N56" i="22" s="1"/>
  <c r="J36" i="16"/>
  <c r="X22" i="21"/>
  <c r="X23" i="21"/>
  <c r="X20" i="21"/>
  <c r="AA27" i="25" s="1"/>
  <c r="AA43" i="25" s="1"/>
  <c r="Y13" i="21"/>
  <c r="Y16" i="21" s="1"/>
  <c r="W34" i="21"/>
  <c r="Z26" i="15"/>
  <c r="Q43" i="21"/>
  <c r="Q44" i="21" s="1"/>
  <c r="Q45" i="21" s="1"/>
  <c r="T88" i="21"/>
  <c r="T58" i="21" s="1"/>
  <c r="T91" i="21" s="1"/>
  <c r="T60" i="21" s="1"/>
  <c r="T95" i="21" s="1"/>
  <c r="T42" i="21" s="1"/>
  <c r="U77" i="21"/>
  <c r="U67" i="21"/>
  <c r="U54" i="21" s="1"/>
  <c r="U71" i="21"/>
  <c r="U56" i="21" s="1"/>
  <c r="AL24" i="15"/>
  <c r="AI18" i="21"/>
  <c r="V75" i="21"/>
  <c r="V48" i="21"/>
  <c r="V76" i="21"/>
  <c r="D48" i="18"/>
  <c r="AB18" i="25" s="1"/>
  <c r="AB24" i="25" s="1"/>
  <c r="AB29" i="25" s="1"/>
  <c r="T72" i="21"/>
  <c r="T57" i="21" s="1"/>
  <c r="Y28" i="15"/>
  <c r="Z23" i="15"/>
  <c r="T80" i="21"/>
  <c r="AA17" i="15"/>
  <c r="U79" i="21"/>
  <c r="U50" i="21"/>
  <c r="U51" i="21" s="1"/>
  <c r="W12" i="21"/>
  <c r="V17" i="21" s="1"/>
  <c r="V21" i="21" s="1"/>
  <c r="V35" i="21" s="1"/>
  <c r="V49" i="21" s="1"/>
  <c r="V72" i="21" s="1"/>
  <c r="R96" i="21"/>
  <c r="R97" i="21" s="1"/>
  <c r="R98" i="21" s="1"/>
  <c r="U78" i="21"/>
  <c r="U49" i="21"/>
  <c r="S57" i="21"/>
  <c r="S89" i="21"/>
  <c r="S59" i="21" s="1"/>
  <c r="G36" i="16"/>
  <c r="AK40" i="21"/>
  <c r="AJ84" i="21"/>
  <c r="AJ87" i="21"/>
  <c r="H70" i="18"/>
  <c r="AI100" i="15"/>
  <c r="AI77" i="15" s="1"/>
  <c r="AJ102" i="15"/>
  <c r="AJ99" i="15"/>
  <c r="G69" i="19"/>
  <c r="AK48" i="15"/>
  <c r="AJ98" i="15"/>
  <c r="AJ85" i="15"/>
  <c r="AJ81" i="15"/>
  <c r="E69" i="19"/>
  <c r="AK49" i="15"/>
  <c r="E50" i="18"/>
  <c r="AB16" i="15"/>
  <c r="C38" i="16"/>
  <c r="E38" i="16" s="1"/>
  <c r="D40" i="16"/>
  <c r="K15" i="8"/>
  <c r="D20" i="11" s="1"/>
  <c r="L15" i="8"/>
  <c r="D21" i="11" s="1"/>
  <c r="L13" i="10"/>
  <c r="C50" i="11" s="1"/>
  <c r="K13" i="10"/>
  <c r="C49" i="11" s="1"/>
  <c r="L11" i="10"/>
  <c r="B50" i="11" s="1"/>
  <c r="K11" i="10"/>
  <c r="K11" i="8"/>
  <c r="B20" i="11" s="1"/>
  <c r="L11" i="8"/>
  <c r="B21" i="11" s="1"/>
  <c r="L15" i="9"/>
  <c r="D35" i="11" s="1"/>
  <c r="K15" i="9"/>
  <c r="D34" i="11" s="1"/>
  <c r="C48" i="11"/>
  <c r="D33" i="11"/>
  <c r="D19" i="11"/>
  <c r="D73" i="8"/>
  <c r="D75" i="8" s="1"/>
  <c r="G13" i="8"/>
  <c r="I13" i="2"/>
  <c r="J13" i="2" s="1"/>
  <c r="K13" i="2" s="1"/>
  <c r="K63" i="2" s="1"/>
  <c r="L13" i="2"/>
  <c r="I13" i="3"/>
  <c r="J13" i="3" s="1"/>
  <c r="K13" i="3" s="1"/>
  <c r="K73" i="3" s="1"/>
  <c r="L13" i="3"/>
  <c r="B17" i="11"/>
  <c r="D31" i="11"/>
  <c r="J15" i="10"/>
  <c r="D17" i="11"/>
  <c r="I13" i="9"/>
  <c r="C31" i="11" s="1"/>
  <c r="M13" i="9"/>
  <c r="C32" i="11" s="1"/>
  <c r="D63" i="9"/>
  <c r="D65" i="9" s="1"/>
  <c r="G63" i="9"/>
  <c r="J11" i="9"/>
  <c r="B31" i="11"/>
  <c r="G63" i="2"/>
  <c r="AJ18" i="21" l="1"/>
  <c r="AM25" i="25"/>
  <c r="F50" i="18"/>
  <c r="AC17" i="25"/>
  <c r="AC22" i="25" s="1"/>
  <c r="AC30" i="25" s="1"/>
  <c r="Z23" i="25"/>
  <c r="Z28" i="25" s="1"/>
  <c r="Z44" i="25" s="1"/>
  <c r="Z31" i="25"/>
  <c r="AB13" i="15"/>
  <c r="AB14" i="25"/>
  <c r="AA15" i="15"/>
  <c r="AA16" i="25"/>
  <c r="AH70" i="21"/>
  <c r="AH83" i="21"/>
  <c r="AH85" i="21" s="1"/>
  <c r="AH62" i="21" s="1"/>
  <c r="AI41" i="21"/>
  <c r="AI66" i="21" s="1"/>
  <c r="G71" i="19"/>
  <c r="J38" i="16"/>
  <c r="K36" i="16"/>
  <c r="L36" i="16" s="1"/>
  <c r="M36" i="16" s="1"/>
  <c r="N36" i="16" s="1"/>
  <c r="O36" i="16" s="1"/>
  <c r="P36" i="16" s="1"/>
  <c r="Q36" i="16" s="1"/>
  <c r="R36" i="16" s="1"/>
  <c r="S36" i="16" s="1"/>
  <c r="T36" i="16" s="1"/>
  <c r="U36" i="16" s="1"/>
  <c r="I36" i="16" s="1"/>
  <c r="B58" i="22" s="1"/>
  <c r="N58" i="22" s="1"/>
  <c r="Y22" i="21"/>
  <c r="Y20" i="21"/>
  <c r="Y23" i="21"/>
  <c r="Z13" i="21"/>
  <c r="Z16" i="21" s="1"/>
  <c r="X34" i="21"/>
  <c r="AA26" i="15"/>
  <c r="W48" i="21"/>
  <c r="W75" i="21"/>
  <c r="W76" i="21"/>
  <c r="S92" i="21"/>
  <c r="S61" i="21" s="1"/>
  <c r="S96" i="21" s="1"/>
  <c r="S97" i="21" s="1"/>
  <c r="S98" i="21" s="1"/>
  <c r="R43" i="21"/>
  <c r="R44" i="21" s="1"/>
  <c r="R45" i="21" s="1"/>
  <c r="U88" i="21"/>
  <c r="U58" i="21" s="1"/>
  <c r="U91" i="21" s="1"/>
  <c r="U60" i="21" s="1"/>
  <c r="U95" i="21" s="1"/>
  <c r="U42" i="21" s="1"/>
  <c r="V77" i="21"/>
  <c r="V71" i="21"/>
  <c r="V56" i="21" s="1"/>
  <c r="V67" i="21"/>
  <c r="V54" i="21" s="1"/>
  <c r="H72" i="18"/>
  <c r="AN25" i="25" s="1"/>
  <c r="AM24" i="15"/>
  <c r="D50" i="18"/>
  <c r="AC18" i="25" s="1"/>
  <c r="AC24" i="25" s="1"/>
  <c r="AC29" i="25" s="1"/>
  <c r="T89" i="21"/>
  <c r="T59" i="21" s="1"/>
  <c r="T92" i="21" s="1"/>
  <c r="T61" i="21" s="1"/>
  <c r="Z28" i="15"/>
  <c r="AA23" i="15"/>
  <c r="AB17" i="15"/>
  <c r="V79" i="21"/>
  <c r="V78" i="21"/>
  <c r="V50" i="21"/>
  <c r="V51" i="21" s="1"/>
  <c r="U80" i="21"/>
  <c r="U72" i="21"/>
  <c r="U57" i="21" s="1"/>
  <c r="U68" i="21"/>
  <c r="U55" i="21" s="1"/>
  <c r="V68" i="21"/>
  <c r="V55" i="21" s="1"/>
  <c r="X12" i="21"/>
  <c r="W17" i="21" s="1"/>
  <c r="W21" i="21" s="1"/>
  <c r="W35" i="21" s="1"/>
  <c r="W50" i="21" s="1"/>
  <c r="AL40" i="21"/>
  <c r="AL87" i="21" s="1"/>
  <c r="G38" i="16"/>
  <c r="V57" i="21"/>
  <c r="V89" i="21"/>
  <c r="AK87" i="21"/>
  <c r="AK84" i="21"/>
  <c r="AL48" i="15"/>
  <c r="AL99" i="15" s="1"/>
  <c r="AJ100" i="15"/>
  <c r="AJ77" i="15" s="1"/>
  <c r="AK99" i="15"/>
  <c r="AK102" i="15"/>
  <c r="E71" i="19"/>
  <c r="AL49" i="15"/>
  <c r="AK98" i="15"/>
  <c r="AK81" i="15"/>
  <c r="AK85" i="15"/>
  <c r="E52" i="18"/>
  <c r="AC16" i="15"/>
  <c r="C40" i="16"/>
  <c r="E40" i="16" s="1"/>
  <c r="D42" i="16"/>
  <c r="L11" i="9"/>
  <c r="B35" i="11" s="1"/>
  <c r="K11" i="9"/>
  <c r="B34" i="11" s="1"/>
  <c r="L15" i="10"/>
  <c r="K15" i="10"/>
  <c r="K53" i="10" s="1"/>
  <c r="D48" i="11"/>
  <c r="B33" i="11"/>
  <c r="J13" i="9"/>
  <c r="M13" i="8"/>
  <c r="C18" i="11" s="1"/>
  <c r="I13" i="8"/>
  <c r="G73" i="8"/>
  <c r="AB26" i="15" l="1"/>
  <c r="AB27" i="25"/>
  <c r="AB43" i="25" s="1"/>
  <c r="F52" i="18"/>
  <c r="AD17" i="25"/>
  <c r="AD22" i="25" s="1"/>
  <c r="AD30" i="25" s="1"/>
  <c r="AA23" i="25"/>
  <c r="AA28" i="25" s="1"/>
  <c r="AA44" i="25" s="1"/>
  <c r="AA31" i="25"/>
  <c r="AC13" i="15"/>
  <c r="AC14" i="25"/>
  <c r="AB15" i="15"/>
  <c r="AB16" i="25"/>
  <c r="AI70" i="21"/>
  <c r="AI83" i="21"/>
  <c r="AI85" i="21" s="1"/>
  <c r="AI62" i="21" s="1"/>
  <c r="AJ41" i="21"/>
  <c r="AJ83" i="21" s="1"/>
  <c r="AJ85" i="21" s="1"/>
  <c r="AJ62" i="21" s="1"/>
  <c r="AM40" i="21"/>
  <c r="AM87" i="21" s="1"/>
  <c r="G73" i="19"/>
  <c r="AN100" i="25" s="1"/>
  <c r="AM48" i="15"/>
  <c r="AM99" i="15" s="1"/>
  <c r="AL103" i="25"/>
  <c r="AL100" i="25"/>
  <c r="AM103" i="25"/>
  <c r="AM100" i="25"/>
  <c r="J40" i="16"/>
  <c r="K38" i="16"/>
  <c r="L38" i="16" s="1"/>
  <c r="M38" i="16" s="1"/>
  <c r="N38" i="16" s="1"/>
  <c r="O38" i="16" s="1"/>
  <c r="P38" i="16" s="1"/>
  <c r="Q38" i="16" s="1"/>
  <c r="R38" i="16" s="1"/>
  <c r="S38" i="16" s="1"/>
  <c r="T38" i="16" s="1"/>
  <c r="U38" i="16" s="1"/>
  <c r="I38" i="16" s="1"/>
  <c r="B60" i="22" s="1"/>
  <c r="N60" i="22" s="1"/>
  <c r="T96" i="21"/>
  <c r="T97" i="21" s="1"/>
  <c r="T98" i="21" s="1"/>
  <c r="Y34" i="21"/>
  <c r="Y76" i="21" s="1"/>
  <c r="Z20" i="21"/>
  <c r="AC27" i="25" s="1"/>
  <c r="AC43" i="25" s="1"/>
  <c r="Z22" i="21"/>
  <c r="Z23" i="21"/>
  <c r="W67" i="21"/>
  <c r="W54" i="21" s="1"/>
  <c r="W71" i="21"/>
  <c r="W56" i="21" s="1"/>
  <c r="W77" i="21"/>
  <c r="X76" i="21"/>
  <c r="X48" i="21"/>
  <c r="W51" i="21"/>
  <c r="X75" i="21"/>
  <c r="AA13" i="21"/>
  <c r="AA16" i="21" s="1"/>
  <c r="S43" i="21"/>
  <c r="S44" i="21" s="1"/>
  <c r="S45" i="21" s="1"/>
  <c r="V88" i="21"/>
  <c r="V58" i="21" s="1"/>
  <c r="V91" i="21" s="1"/>
  <c r="V60" i="21" s="1"/>
  <c r="V95" i="21" s="1"/>
  <c r="V42" i="21" s="1"/>
  <c r="H74" i="18"/>
  <c r="AK18" i="21"/>
  <c r="E73" i="19"/>
  <c r="AM49" i="15"/>
  <c r="AL84" i="21"/>
  <c r="AN24" i="15"/>
  <c r="D52" i="18"/>
  <c r="AD18" i="25" s="1"/>
  <c r="AD24" i="25" s="1"/>
  <c r="AD29" i="25" s="1"/>
  <c r="AA28" i="15"/>
  <c r="AB23" i="15"/>
  <c r="W49" i="21"/>
  <c r="W68" i="21" s="1"/>
  <c r="W55" i="21" s="1"/>
  <c r="W79" i="21"/>
  <c r="V80" i="21"/>
  <c r="V59" i="21" s="1"/>
  <c r="V92" i="21" s="1"/>
  <c r="V61" i="21" s="1"/>
  <c r="V96" i="21" s="1"/>
  <c r="AC17" i="15"/>
  <c r="W78" i="21"/>
  <c r="Y12" i="21"/>
  <c r="X17" i="21" s="1"/>
  <c r="X21" i="21" s="1"/>
  <c r="X35" i="21" s="1"/>
  <c r="X50" i="21" s="1"/>
  <c r="U89" i="21"/>
  <c r="U59" i="21" s="1"/>
  <c r="U92" i="21" s="1"/>
  <c r="U61" i="21" s="1"/>
  <c r="G40" i="16"/>
  <c r="AK100" i="15"/>
  <c r="AK77" i="15" s="1"/>
  <c r="AL102" i="15"/>
  <c r="AL81" i="15"/>
  <c r="AL98" i="15"/>
  <c r="AL100" i="15" s="1"/>
  <c r="AL77" i="15" s="1"/>
  <c r="AL85" i="15"/>
  <c r="E54" i="18"/>
  <c r="AD16" i="15"/>
  <c r="C42" i="16"/>
  <c r="E42" i="16" s="1"/>
  <c r="D44" i="16"/>
  <c r="D49" i="11"/>
  <c r="L53" i="10"/>
  <c r="D50" i="11"/>
  <c r="K13" i="9"/>
  <c r="C34" i="11" s="1"/>
  <c r="L13" i="9"/>
  <c r="C33" i="11"/>
  <c r="C17" i="11"/>
  <c r="J13" i="8"/>
  <c r="C19" i="11" s="1"/>
  <c r="AL18" i="21" l="1"/>
  <c r="AO25" i="25"/>
  <c r="F54" i="18"/>
  <c r="AE17" i="25"/>
  <c r="AE22" i="25" s="1"/>
  <c r="AE30" i="25" s="1"/>
  <c r="AD13" i="15"/>
  <c r="AD14" i="25"/>
  <c r="AB23" i="25"/>
  <c r="AB28" i="25" s="1"/>
  <c r="AB44" i="25" s="1"/>
  <c r="AB31" i="25"/>
  <c r="AC15" i="15"/>
  <c r="AC16" i="25"/>
  <c r="AJ70" i="21"/>
  <c r="AM102" i="15"/>
  <c r="G75" i="19"/>
  <c r="AO48" i="15" s="1"/>
  <c r="AM84" i="21"/>
  <c r="AN40" i="21"/>
  <c r="AN84" i="21" s="1"/>
  <c r="AN48" i="15"/>
  <c r="AN102" i="15" s="1"/>
  <c r="AJ66" i="21"/>
  <c r="AK41" i="21"/>
  <c r="AK66" i="21" s="1"/>
  <c r="AN103" i="25"/>
  <c r="AO100" i="25"/>
  <c r="AO103" i="25"/>
  <c r="T43" i="21"/>
  <c r="T44" i="21" s="1"/>
  <c r="T45" i="21" s="1"/>
  <c r="J42" i="16"/>
  <c r="Y48" i="21"/>
  <c r="Y67" i="21" s="1"/>
  <c r="Y54" i="21" s="1"/>
  <c r="Y75" i="21"/>
  <c r="K40" i="16"/>
  <c r="L40" i="16" s="1"/>
  <c r="M40" i="16" s="1"/>
  <c r="N40" i="16" s="1"/>
  <c r="O40" i="16" s="1"/>
  <c r="P40" i="16" s="1"/>
  <c r="Q40" i="16" s="1"/>
  <c r="R40" i="16" s="1"/>
  <c r="S40" i="16" s="1"/>
  <c r="T40" i="16" s="1"/>
  <c r="U40" i="16" s="1"/>
  <c r="I40" i="16" s="1"/>
  <c r="B62" i="22" s="1"/>
  <c r="N62" i="22" s="1"/>
  <c r="W88" i="21"/>
  <c r="W58" i="21" s="1"/>
  <c r="W91" i="21" s="1"/>
  <c r="W60" i="21" s="1"/>
  <c r="W95" i="21" s="1"/>
  <c r="W42" i="21" s="1"/>
  <c r="X51" i="21"/>
  <c r="H76" i="18"/>
  <c r="AA23" i="21"/>
  <c r="AA22" i="21"/>
  <c r="AA20" i="21"/>
  <c r="AD27" i="25" s="1"/>
  <c r="AD43" i="25" s="1"/>
  <c r="AC26" i="15"/>
  <c r="Z34" i="21"/>
  <c r="X71" i="21"/>
  <c r="X56" i="21" s="1"/>
  <c r="X67" i="21"/>
  <c r="X54" i="21" s="1"/>
  <c r="X77" i="21"/>
  <c r="AB13" i="21"/>
  <c r="AB16" i="21" s="1"/>
  <c r="AO24" i="15"/>
  <c r="V97" i="21"/>
  <c r="V98" i="21" s="1"/>
  <c r="AM85" i="15"/>
  <c r="AM98" i="15"/>
  <c r="AM100" i="15" s="1"/>
  <c r="AM77" i="15" s="1"/>
  <c r="AM81" i="15"/>
  <c r="AN49" i="15"/>
  <c r="E75" i="19"/>
  <c r="D54" i="18"/>
  <c r="AE18" i="25" s="1"/>
  <c r="AE24" i="25" s="1"/>
  <c r="AE29" i="25" s="1"/>
  <c r="W80" i="21"/>
  <c r="AB28" i="15"/>
  <c r="AC23" i="15"/>
  <c r="W72" i="21"/>
  <c r="W57" i="21" s="1"/>
  <c r="X49" i="21"/>
  <c r="X78" i="21"/>
  <c r="AD17" i="15"/>
  <c r="U96" i="21"/>
  <c r="U97" i="21" s="1"/>
  <c r="U98" i="21" s="1"/>
  <c r="Z12" i="21"/>
  <c r="Y17" i="21" s="1"/>
  <c r="Y21" i="21" s="1"/>
  <c r="Y35" i="21" s="1"/>
  <c r="Y50" i="21" s="1"/>
  <c r="X79" i="21"/>
  <c r="G42" i="16"/>
  <c r="V43" i="21"/>
  <c r="V44" i="21" s="1"/>
  <c r="V45" i="21" s="1"/>
  <c r="E56" i="18"/>
  <c r="AE16" i="15"/>
  <c r="D46" i="16"/>
  <c r="C44" i="16"/>
  <c r="E44" i="16" s="1"/>
  <c r="L63" i="9"/>
  <c r="C35" i="11"/>
  <c r="K63" i="9"/>
  <c r="L13" i="8"/>
  <c r="K13" i="8"/>
  <c r="G77" i="19" l="1"/>
  <c r="G79" i="19" s="1"/>
  <c r="AN87" i="21"/>
  <c r="AM18" i="21"/>
  <c r="AP25" i="25"/>
  <c r="F56" i="18"/>
  <c r="AF17" i="25"/>
  <c r="AF22" i="25" s="1"/>
  <c r="AF30" i="25" s="1"/>
  <c r="AC23" i="25"/>
  <c r="AC28" i="25" s="1"/>
  <c r="AC44" i="25" s="1"/>
  <c r="AC31" i="25"/>
  <c r="AD15" i="15"/>
  <c r="AD16" i="25"/>
  <c r="AE13" i="15"/>
  <c r="AE14" i="25"/>
  <c r="AK83" i="21"/>
  <c r="AK85" i="21" s="1"/>
  <c r="AK62" i="21" s="1"/>
  <c r="AN99" i="15"/>
  <c r="AK70" i="21"/>
  <c r="AL41" i="21"/>
  <c r="AL83" i="21" s="1"/>
  <c r="AL85" i="21" s="1"/>
  <c r="AL62" i="21" s="1"/>
  <c r="AP100" i="25"/>
  <c r="AP103" i="25"/>
  <c r="J44" i="16"/>
  <c r="H78" i="18"/>
  <c r="Y51" i="21"/>
  <c r="Y77" i="21"/>
  <c r="Y71" i="21"/>
  <c r="Y56" i="21" s="1"/>
  <c r="K42" i="16"/>
  <c r="L42" i="16" s="1"/>
  <c r="M42" i="16" s="1"/>
  <c r="N42" i="16" s="1"/>
  <c r="O42" i="16" s="1"/>
  <c r="P42" i="16" s="1"/>
  <c r="Q42" i="16" s="1"/>
  <c r="R42" i="16" s="1"/>
  <c r="S42" i="16" s="1"/>
  <c r="T42" i="16" s="1"/>
  <c r="U42" i="16" s="1"/>
  <c r="I42" i="16" s="1"/>
  <c r="B64" i="22" s="1"/>
  <c r="N64" i="22" s="1"/>
  <c r="U43" i="21"/>
  <c r="U44" i="21" s="1"/>
  <c r="U45" i="21" s="1"/>
  <c r="AP24" i="15"/>
  <c r="X88" i="21"/>
  <c r="X58" i="21" s="1"/>
  <c r="X91" i="21" s="1"/>
  <c r="X60" i="21" s="1"/>
  <c r="X95" i="21" s="1"/>
  <c r="X42" i="21" s="1"/>
  <c r="AB22" i="21"/>
  <c r="AB20" i="21"/>
  <c r="AE27" i="25" s="1"/>
  <c r="AE43" i="25" s="1"/>
  <c r="AB23" i="21"/>
  <c r="Z75" i="21"/>
  <c r="Z48" i="21"/>
  <c r="Z76" i="21"/>
  <c r="AA34" i="21"/>
  <c r="AD26" i="15"/>
  <c r="AC13" i="21"/>
  <c r="AC16" i="21" s="1"/>
  <c r="AO102" i="15"/>
  <c r="AO99" i="15"/>
  <c r="AN81" i="15"/>
  <c r="AN98" i="15"/>
  <c r="AN85" i="15"/>
  <c r="AO49" i="15"/>
  <c r="E77" i="19"/>
  <c r="D56" i="18"/>
  <c r="AF18" i="25" s="1"/>
  <c r="AF24" i="25" s="1"/>
  <c r="AF29" i="25" s="1"/>
  <c r="W89" i="21"/>
  <c r="W59" i="21" s="1"/>
  <c r="W92" i="21" s="1"/>
  <c r="W61" i="21" s="1"/>
  <c r="AC28" i="15"/>
  <c r="AD23" i="15"/>
  <c r="X80" i="21"/>
  <c r="X72" i="21"/>
  <c r="X68" i="21"/>
  <c r="X55" i="21" s="1"/>
  <c r="AE17" i="15"/>
  <c r="Y78" i="21"/>
  <c r="AA12" i="21"/>
  <c r="Z17" i="21" s="1"/>
  <c r="Z21" i="21" s="1"/>
  <c r="Z35" i="21" s="1"/>
  <c r="Z78" i="21" s="1"/>
  <c r="Y49" i="21"/>
  <c r="Y79" i="21"/>
  <c r="G44" i="16"/>
  <c r="E58" i="18"/>
  <c r="AF16" i="15"/>
  <c r="C46" i="16"/>
  <c r="E46" i="16" s="1"/>
  <c r="D48" i="16"/>
  <c r="L73" i="8"/>
  <c r="C21" i="11"/>
  <c r="K73" i="8"/>
  <c r="C20" i="11"/>
  <c r="AP48" i="15" l="1"/>
  <c r="AP99" i="15" s="1"/>
  <c r="AN100" i="15"/>
  <c r="AN77" i="15" s="1"/>
  <c r="AQ24" i="15"/>
  <c r="AQ25" i="25"/>
  <c r="F58" i="18"/>
  <c r="AG17" i="25"/>
  <c r="AG22" i="25" s="1"/>
  <c r="AG30" i="25" s="1"/>
  <c r="AE15" i="15"/>
  <c r="AE16" i="25"/>
  <c r="AD23" i="25"/>
  <c r="AD28" i="25" s="1"/>
  <c r="AD44" i="25" s="1"/>
  <c r="AD31" i="25"/>
  <c r="AF13" i="15"/>
  <c r="AF14" i="25"/>
  <c r="AL70" i="21"/>
  <c r="AL66" i="21"/>
  <c r="AM41" i="21"/>
  <c r="AM83" i="21" s="1"/>
  <c r="AM85" i="21" s="1"/>
  <c r="AM62" i="21" s="1"/>
  <c r="AQ103" i="25"/>
  <c r="AQ100" i="25"/>
  <c r="J46" i="16"/>
  <c r="AN18" i="21"/>
  <c r="Y88" i="21"/>
  <c r="Y58" i="21" s="1"/>
  <c r="Y91" i="21" s="1"/>
  <c r="Y60" i="21" s="1"/>
  <c r="Y95" i="21" s="1"/>
  <c r="Y42" i="21" s="1"/>
  <c r="K44" i="16"/>
  <c r="L44" i="16" s="1"/>
  <c r="M44" i="16" s="1"/>
  <c r="N44" i="16" s="1"/>
  <c r="O44" i="16" s="1"/>
  <c r="P44" i="16" s="1"/>
  <c r="Q44" i="16" s="1"/>
  <c r="R44" i="16" s="1"/>
  <c r="S44" i="16" s="1"/>
  <c r="T44" i="16" s="1"/>
  <c r="U44" i="16" s="1"/>
  <c r="I44" i="16" s="1"/>
  <c r="B66" i="22" s="1"/>
  <c r="N66" i="22" s="1"/>
  <c r="W96" i="21"/>
  <c r="W97" i="21" s="1"/>
  <c r="W98" i="21" s="1"/>
  <c r="AC22" i="21"/>
  <c r="AC23" i="21"/>
  <c r="AC20" i="21"/>
  <c r="AF27" i="25" s="1"/>
  <c r="AF43" i="25" s="1"/>
  <c r="AA75" i="21"/>
  <c r="AA48" i="21"/>
  <c r="AA76" i="21"/>
  <c r="AD13" i="21"/>
  <c r="AD16" i="21" s="1"/>
  <c r="Z77" i="21"/>
  <c r="Z67" i="21"/>
  <c r="Z54" i="21" s="1"/>
  <c r="Z71" i="21"/>
  <c r="Z56" i="21" s="1"/>
  <c r="AE26" i="15"/>
  <c r="AB34" i="21"/>
  <c r="G81" i="19"/>
  <c r="G83" i="19" s="1"/>
  <c r="G85" i="19" s="1"/>
  <c r="G87" i="19" s="1"/>
  <c r="G89" i="19" s="1"/>
  <c r="G91" i="19" s="1"/>
  <c r="AQ48" i="15"/>
  <c r="AO85" i="15"/>
  <c r="AO98" i="15"/>
  <c r="AO100" i="15" s="1"/>
  <c r="AO77" i="15" s="1"/>
  <c r="AO81" i="15"/>
  <c r="AP49" i="15"/>
  <c r="E79" i="19"/>
  <c r="D58" i="18"/>
  <c r="AG18" i="25" s="1"/>
  <c r="AG24" i="25" s="1"/>
  <c r="AG29" i="25" s="1"/>
  <c r="AD28" i="15"/>
  <c r="AE23" i="15"/>
  <c r="X57" i="21"/>
  <c r="X89" i="21"/>
  <c r="X59" i="21" s="1"/>
  <c r="AF17" i="15"/>
  <c r="Y80" i="21"/>
  <c r="Y68" i="21"/>
  <c r="Y55" i="21" s="1"/>
  <c r="Y72" i="21"/>
  <c r="AB12" i="21"/>
  <c r="AA17" i="21" s="1"/>
  <c r="AA21" i="21" s="1"/>
  <c r="AA35" i="21" s="1"/>
  <c r="AA79" i="21" s="1"/>
  <c r="Z50" i="21"/>
  <c r="Z51" i="21" s="1"/>
  <c r="Z79" i="21"/>
  <c r="Z49" i="21"/>
  <c r="G46" i="16"/>
  <c r="AF16" i="25" s="1"/>
  <c r="E60" i="18"/>
  <c r="AG16" i="15"/>
  <c r="G15" i="15"/>
  <c r="C48" i="16"/>
  <c r="E48" i="16" s="1"/>
  <c r="D50" i="16"/>
  <c r="AP102" i="15" l="1"/>
  <c r="F60" i="18"/>
  <c r="AH17" i="25"/>
  <c r="AH22" i="25" s="1"/>
  <c r="AH30" i="25" s="1"/>
  <c r="AE23" i="25"/>
  <c r="AE28" i="25" s="1"/>
  <c r="AE44" i="25" s="1"/>
  <c r="AE31" i="25"/>
  <c r="AF23" i="25"/>
  <c r="AF28" i="25" s="1"/>
  <c r="AF44" i="25" s="1"/>
  <c r="AF31" i="25"/>
  <c r="AG13" i="15"/>
  <c r="AG14" i="25"/>
  <c r="AM70" i="21"/>
  <c r="AM66" i="21"/>
  <c r="AN41" i="21"/>
  <c r="AN70" i="21" s="1"/>
  <c r="K46" i="16"/>
  <c r="L46" i="16" s="1"/>
  <c r="M46" i="16" s="1"/>
  <c r="N46" i="16" s="1"/>
  <c r="O46" i="16" s="1"/>
  <c r="P46" i="16" s="1"/>
  <c r="Q46" i="16" s="1"/>
  <c r="R46" i="16" s="1"/>
  <c r="S46" i="16" s="1"/>
  <c r="T46" i="16" s="1"/>
  <c r="U46" i="16" s="1"/>
  <c r="I46" i="16" s="1"/>
  <c r="B68" i="22" s="1"/>
  <c r="N68" i="22" s="1"/>
  <c r="AF15" i="15"/>
  <c r="J48" i="16"/>
  <c r="W43" i="21"/>
  <c r="W44" i="21" s="1"/>
  <c r="W45" i="21" s="1"/>
  <c r="X92" i="21"/>
  <c r="X61" i="21" s="1"/>
  <c r="X96" i="21" s="1"/>
  <c r="X97" i="21" s="1"/>
  <c r="X98" i="21" s="1"/>
  <c r="Z88" i="21"/>
  <c r="Z58" i="21" s="1"/>
  <c r="Z91" i="21" s="1"/>
  <c r="Z60" i="21" s="1"/>
  <c r="Z95" i="21" s="1"/>
  <c r="Z42" i="21" s="1"/>
  <c r="AD22" i="21"/>
  <c r="AD20" i="21"/>
  <c r="AG27" i="25" s="1"/>
  <c r="AG43" i="25" s="1"/>
  <c r="AD23" i="21"/>
  <c r="AB76" i="21"/>
  <c r="AB75" i="21"/>
  <c r="AB48" i="21"/>
  <c r="AF26" i="15"/>
  <c r="AC34" i="21"/>
  <c r="AA77" i="21"/>
  <c r="AA67" i="21"/>
  <c r="AA54" i="21" s="1"/>
  <c r="AA71" i="21"/>
  <c r="AA56" i="21" s="1"/>
  <c r="AE13" i="21"/>
  <c r="AE16" i="21" s="1"/>
  <c r="AQ99" i="15"/>
  <c r="AQ102" i="15"/>
  <c r="AP98" i="15"/>
  <c r="AP100" i="15" s="1"/>
  <c r="AP77" i="15" s="1"/>
  <c r="AP81" i="15"/>
  <c r="AP85" i="15"/>
  <c r="AQ49" i="15"/>
  <c r="E81" i="19"/>
  <c r="E83" i="19" s="1"/>
  <c r="E85" i="19" s="1"/>
  <c r="E87" i="19" s="1"/>
  <c r="E89" i="19" s="1"/>
  <c r="E91" i="19" s="1"/>
  <c r="D60" i="18"/>
  <c r="AH18" i="25" s="1"/>
  <c r="AH24" i="25" s="1"/>
  <c r="AH29" i="25" s="1"/>
  <c r="AE28" i="15"/>
  <c r="AF23" i="15"/>
  <c r="AG17" i="15"/>
  <c r="AA78" i="21"/>
  <c r="AC12" i="21"/>
  <c r="AB17" i="21" s="1"/>
  <c r="AB21" i="21" s="1"/>
  <c r="AB35" i="21" s="1"/>
  <c r="AB50" i="21" s="1"/>
  <c r="Z68" i="21"/>
  <c r="Z55" i="21" s="1"/>
  <c r="Z80" i="21"/>
  <c r="Z72" i="21"/>
  <c r="AA49" i="21"/>
  <c r="AA50" i="21"/>
  <c r="AA51" i="21" s="1"/>
  <c r="Y57" i="21"/>
  <c r="Y89" i="21"/>
  <c r="Y59" i="21" s="1"/>
  <c r="G48" i="16"/>
  <c r="AG16" i="25" s="1"/>
  <c r="E62" i="18"/>
  <c r="AH16" i="15"/>
  <c r="D52" i="16"/>
  <c r="C50" i="16"/>
  <c r="E50" i="16" s="1"/>
  <c r="F62" i="18" l="1"/>
  <c r="AI17" i="25"/>
  <c r="AI22" i="25" s="1"/>
  <c r="AI30" i="25" s="1"/>
  <c r="AG31" i="25"/>
  <c r="AG23" i="25"/>
  <c r="AG28" i="25" s="1"/>
  <c r="AG44" i="25" s="1"/>
  <c r="AH13" i="15"/>
  <c r="AH14" i="25"/>
  <c r="AN83" i="21"/>
  <c r="AN85" i="21" s="1"/>
  <c r="AN62" i="21" s="1"/>
  <c r="AN66" i="21"/>
  <c r="K48" i="16"/>
  <c r="L48" i="16" s="1"/>
  <c r="M48" i="16" s="1"/>
  <c r="N48" i="16" s="1"/>
  <c r="O48" i="16" s="1"/>
  <c r="P48" i="16" s="1"/>
  <c r="Q48" i="16" s="1"/>
  <c r="R48" i="16" s="1"/>
  <c r="S48" i="16" s="1"/>
  <c r="T48" i="16" s="1"/>
  <c r="U48" i="16" s="1"/>
  <c r="I48" i="16" s="1"/>
  <c r="B70" i="22" s="1"/>
  <c r="N70" i="22" s="1"/>
  <c r="AG15" i="15"/>
  <c r="J50" i="16"/>
  <c r="Y92" i="21"/>
  <c r="Y61" i="21" s="1"/>
  <c r="Y96" i="21" s="1"/>
  <c r="Y97" i="21" s="1"/>
  <c r="Y98" i="21" s="1"/>
  <c r="AB51" i="21"/>
  <c r="AE20" i="21"/>
  <c r="AH27" i="25" s="1"/>
  <c r="AH43" i="25" s="1"/>
  <c r="AE23" i="21"/>
  <c r="AE22" i="21"/>
  <c r="AB67" i="21"/>
  <c r="AB54" i="21" s="1"/>
  <c r="AB71" i="21"/>
  <c r="AB77" i="21"/>
  <c r="AA88" i="21"/>
  <c r="AA58" i="21" s="1"/>
  <c r="AA91" i="21" s="1"/>
  <c r="AA60" i="21" s="1"/>
  <c r="AA95" i="21" s="1"/>
  <c r="AA42" i="21" s="1"/>
  <c r="AF13" i="21"/>
  <c r="AF16" i="21" s="1"/>
  <c r="AF22" i="21" s="1"/>
  <c r="AG26" i="15"/>
  <c r="AD34" i="21"/>
  <c r="AC75" i="21"/>
  <c r="AC76" i="21"/>
  <c r="AC48" i="21"/>
  <c r="X43" i="21"/>
  <c r="X44" i="21" s="1"/>
  <c r="X45" i="21" s="1"/>
  <c r="AQ98" i="15"/>
  <c r="AQ100" i="15" s="1"/>
  <c r="AQ77" i="15" s="1"/>
  <c r="AQ81" i="15"/>
  <c r="AQ85" i="15"/>
  <c r="D62" i="18"/>
  <c r="AI18" i="25" s="1"/>
  <c r="AI24" i="25" s="1"/>
  <c r="AI29" i="25" s="1"/>
  <c r="AB49" i="21"/>
  <c r="AB72" i="21" s="1"/>
  <c r="AB57" i="21" s="1"/>
  <c r="AF28" i="15"/>
  <c r="AG23" i="15"/>
  <c r="AH17" i="15"/>
  <c r="AB79" i="21"/>
  <c r="AB78" i="21"/>
  <c r="AA80" i="21"/>
  <c r="AA68" i="21"/>
  <c r="AA55" i="21" s="1"/>
  <c r="AA72" i="21"/>
  <c r="AA57" i="21" s="1"/>
  <c r="Z57" i="21"/>
  <c r="Z89" i="21"/>
  <c r="Z59" i="21" s="1"/>
  <c r="AD12" i="21"/>
  <c r="AC17" i="21" s="1"/>
  <c r="AC21" i="21" s="1"/>
  <c r="AC35" i="21" s="1"/>
  <c r="AC49" i="21" s="1"/>
  <c r="G50" i="16"/>
  <c r="E64" i="18"/>
  <c r="AI16" i="15"/>
  <c r="C52" i="16"/>
  <c r="E52" i="16" s="1"/>
  <c r="D54" i="16"/>
  <c r="F64" i="18" l="1"/>
  <c r="AJ17" i="25"/>
  <c r="AJ22" i="25" s="1"/>
  <c r="AJ30" i="25" s="1"/>
  <c r="AI13" i="15"/>
  <c r="AI14" i="25"/>
  <c r="AH15" i="15"/>
  <c r="AH16" i="25"/>
  <c r="Z92" i="21"/>
  <c r="Z61" i="21" s="1"/>
  <c r="Z96" i="21" s="1"/>
  <c r="Z97" i="21" s="1"/>
  <c r="Z98" i="21" s="1"/>
  <c r="J52" i="16"/>
  <c r="K50" i="16"/>
  <c r="L50" i="16" s="1"/>
  <c r="M50" i="16" s="1"/>
  <c r="N50" i="16" s="1"/>
  <c r="O50" i="16" s="1"/>
  <c r="P50" i="16" s="1"/>
  <c r="Q50" i="16" s="1"/>
  <c r="R50" i="16" s="1"/>
  <c r="S50" i="16" s="1"/>
  <c r="T50" i="16" s="1"/>
  <c r="U50" i="16" s="1"/>
  <c r="I50" i="16" s="1"/>
  <c r="B72" i="22" s="1"/>
  <c r="N72" i="22" s="1"/>
  <c r="AC71" i="21"/>
  <c r="AC56" i="21" s="1"/>
  <c r="AC67" i="21"/>
  <c r="AC54" i="21" s="1"/>
  <c r="AC77" i="21"/>
  <c r="AB88" i="21"/>
  <c r="AB58" i="21" s="1"/>
  <c r="AB56" i="21"/>
  <c r="AD76" i="21"/>
  <c r="AD75" i="21"/>
  <c r="AD48" i="21"/>
  <c r="AG13" i="21"/>
  <c r="AG16" i="21" s="1"/>
  <c r="AF20" i="21"/>
  <c r="AI27" i="25" s="1"/>
  <c r="AI43" i="25" s="1"/>
  <c r="AF23" i="21"/>
  <c r="AH26" i="15"/>
  <c r="AE34" i="21"/>
  <c r="Y43" i="21"/>
  <c r="Y44" i="21" s="1"/>
  <c r="Y45" i="21" s="1"/>
  <c r="G52" i="16"/>
  <c r="D64" i="18"/>
  <c r="AJ18" i="25" s="1"/>
  <c r="AJ24" i="25" s="1"/>
  <c r="AJ29" i="25" s="1"/>
  <c r="AB68" i="21"/>
  <c r="AB55" i="21" s="1"/>
  <c r="AA89" i="21"/>
  <c r="AA59" i="21" s="1"/>
  <c r="AA92" i="21" s="1"/>
  <c r="AA61" i="21" s="1"/>
  <c r="AA96" i="21" s="1"/>
  <c r="AA97" i="21" s="1"/>
  <c r="AA98" i="21" s="1"/>
  <c r="AG28" i="15"/>
  <c r="AH23" i="15"/>
  <c r="AB80" i="21"/>
  <c r="AI17" i="15"/>
  <c r="AC72" i="21"/>
  <c r="AC57" i="21" s="1"/>
  <c r="AC68" i="21"/>
  <c r="AC55" i="21" s="1"/>
  <c r="AC50" i="21"/>
  <c r="AC51" i="21" s="1"/>
  <c r="AC78" i="21"/>
  <c r="AE12" i="21"/>
  <c r="AD17" i="21" s="1"/>
  <c r="AD21" i="21" s="1"/>
  <c r="AD35" i="21" s="1"/>
  <c r="AC79" i="21"/>
  <c r="AB89" i="21"/>
  <c r="E66" i="18"/>
  <c r="AJ16" i="15"/>
  <c r="C54" i="16"/>
  <c r="E54" i="16" s="1"/>
  <c r="D56" i="16"/>
  <c r="F66" i="18" l="1"/>
  <c r="AK17" i="25"/>
  <c r="AK22" i="25" s="1"/>
  <c r="AK30" i="25" s="1"/>
  <c r="AI15" i="15"/>
  <c r="AI16" i="25"/>
  <c r="AH23" i="25"/>
  <c r="AH28" i="25" s="1"/>
  <c r="AH44" i="25" s="1"/>
  <c r="AH31" i="25"/>
  <c r="AJ13" i="15"/>
  <c r="AJ14" i="25"/>
  <c r="AB91" i="21"/>
  <c r="AB60" i="21" s="1"/>
  <c r="AB95" i="21" s="1"/>
  <c r="AB42" i="21" s="1"/>
  <c r="Z43" i="21"/>
  <c r="Z44" i="21" s="1"/>
  <c r="Z45" i="21" s="1"/>
  <c r="G54" i="16"/>
  <c r="AJ16" i="25" s="1"/>
  <c r="J54" i="16"/>
  <c r="K52" i="16"/>
  <c r="L52" i="16" s="1"/>
  <c r="M52" i="16" s="1"/>
  <c r="N52" i="16" s="1"/>
  <c r="O52" i="16" s="1"/>
  <c r="P52" i="16" s="1"/>
  <c r="Q52" i="16" s="1"/>
  <c r="R52" i="16" s="1"/>
  <c r="S52" i="16" s="1"/>
  <c r="T52" i="16" s="1"/>
  <c r="U52" i="16" s="1"/>
  <c r="I52" i="16" s="1"/>
  <c r="B74" i="22" s="1"/>
  <c r="N74" i="22" s="1"/>
  <c r="AC88" i="21"/>
  <c r="AC58" i="21" s="1"/>
  <c r="AC91" i="21" s="1"/>
  <c r="AC60" i="21" s="1"/>
  <c r="AC95" i="21" s="1"/>
  <c r="AC42" i="21" s="1"/>
  <c r="AG23" i="21"/>
  <c r="AG20" i="21"/>
  <c r="AJ27" i="25" s="1"/>
  <c r="AJ43" i="25" s="1"/>
  <c r="AG22" i="21"/>
  <c r="AF34" i="21"/>
  <c r="AI26" i="15"/>
  <c r="AE75" i="21"/>
  <c r="AE76" i="21"/>
  <c r="AE48" i="21"/>
  <c r="AH13" i="21"/>
  <c r="AH16" i="21" s="1"/>
  <c r="AD71" i="21"/>
  <c r="AD56" i="21" s="1"/>
  <c r="AD77" i="21"/>
  <c r="AD67" i="21"/>
  <c r="AD54" i="21" s="1"/>
  <c r="AF12" i="21"/>
  <c r="AE17" i="21" s="1"/>
  <c r="AE21" i="21" s="1"/>
  <c r="AE35" i="21" s="1"/>
  <c r="AE49" i="21" s="1"/>
  <c r="AE72" i="21" s="1"/>
  <c r="AE57" i="21" s="1"/>
  <c r="D66" i="18"/>
  <c r="AK18" i="25" s="1"/>
  <c r="AK24" i="25" s="1"/>
  <c r="AK29" i="25" s="1"/>
  <c r="AB59" i="21"/>
  <c r="AB92" i="21" s="1"/>
  <c r="AB61" i="21" s="1"/>
  <c r="AB96" i="21" s="1"/>
  <c r="AH28" i="15"/>
  <c r="AI23" i="15"/>
  <c r="AA43" i="21"/>
  <c r="AA44" i="21" s="1"/>
  <c r="AA45" i="21" s="1"/>
  <c r="AJ17" i="15"/>
  <c r="AC89" i="21"/>
  <c r="AC80" i="21"/>
  <c r="AD49" i="21"/>
  <c r="AD50" i="21"/>
  <c r="AD51" i="21" s="1"/>
  <c r="AD79" i="21"/>
  <c r="AD78" i="21"/>
  <c r="E68" i="18"/>
  <c r="AK16" i="15"/>
  <c r="C56" i="16"/>
  <c r="E56" i="16" s="1"/>
  <c r="D58" i="16"/>
  <c r="F68" i="18" l="1"/>
  <c r="AL17" i="25"/>
  <c r="AL22" i="25" s="1"/>
  <c r="AL30" i="25" s="1"/>
  <c r="AB97" i="21"/>
  <c r="AB98" i="21" s="1"/>
  <c r="AK13" i="15"/>
  <c r="AK14" i="25"/>
  <c r="AI31" i="25"/>
  <c r="AI23" i="25"/>
  <c r="AI28" i="25" s="1"/>
  <c r="AI44" i="25" s="1"/>
  <c r="AJ23" i="25"/>
  <c r="AJ28" i="25" s="1"/>
  <c r="AJ44" i="25" s="1"/>
  <c r="AJ31" i="25"/>
  <c r="AG12" i="21"/>
  <c r="AF17" i="21" s="1"/>
  <c r="AF21" i="21" s="1"/>
  <c r="AF35" i="21" s="1"/>
  <c r="AF79" i="21" s="1"/>
  <c r="AJ15" i="15"/>
  <c r="K54" i="16"/>
  <c r="L54" i="16" s="1"/>
  <c r="M54" i="16" s="1"/>
  <c r="N54" i="16" s="1"/>
  <c r="O54" i="16" s="1"/>
  <c r="P54" i="16" s="1"/>
  <c r="Q54" i="16" s="1"/>
  <c r="R54" i="16" s="1"/>
  <c r="S54" i="16" s="1"/>
  <c r="T54" i="16" s="1"/>
  <c r="U54" i="16" s="1"/>
  <c r="I54" i="16" s="1"/>
  <c r="G56" i="16"/>
  <c r="AK16" i="25" s="1"/>
  <c r="J56" i="16"/>
  <c r="AD88" i="21"/>
  <c r="AD58" i="21" s="1"/>
  <c r="AD91" i="21" s="1"/>
  <c r="AD60" i="21" s="1"/>
  <c r="AD95" i="21" s="1"/>
  <c r="AD42" i="21" s="1"/>
  <c r="AE77" i="21"/>
  <c r="AH23" i="21"/>
  <c r="AH20" i="21"/>
  <c r="AK27" i="25" s="1"/>
  <c r="AK43" i="25" s="1"/>
  <c r="AH22" i="21"/>
  <c r="AF76" i="21"/>
  <c r="AF75" i="21"/>
  <c r="AF48" i="21"/>
  <c r="AG34" i="21"/>
  <c r="AJ26" i="15"/>
  <c r="AI13" i="21"/>
  <c r="AI16" i="21" s="1"/>
  <c r="AE71" i="21"/>
  <c r="AE56" i="21" s="1"/>
  <c r="AE67" i="21"/>
  <c r="AE54" i="21" s="1"/>
  <c r="AE68" i="21"/>
  <c r="AE55" i="21" s="1"/>
  <c r="AE79" i="21"/>
  <c r="AE78" i="21"/>
  <c r="AE50" i="21"/>
  <c r="AE51" i="21" s="1"/>
  <c r="D68" i="18"/>
  <c r="AL18" i="25" s="1"/>
  <c r="AL24" i="25" s="1"/>
  <c r="AL29" i="25" s="1"/>
  <c r="AI28" i="15"/>
  <c r="AJ23" i="15"/>
  <c r="AC59" i="21"/>
  <c r="AC92" i="21" s="1"/>
  <c r="AC61" i="21" s="1"/>
  <c r="AC96" i="21" s="1"/>
  <c r="AC97" i="21" s="1"/>
  <c r="AC98" i="21" s="1"/>
  <c r="AK17" i="15"/>
  <c r="AD80" i="21"/>
  <c r="AD68" i="21"/>
  <c r="AD55" i="21" s="1"/>
  <c r="AD72" i="21"/>
  <c r="AB43" i="21"/>
  <c r="AB44" i="21" s="1"/>
  <c r="AB45" i="21" s="1"/>
  <c r="AE89" i="21"/>
  <c r="E70" i="18"/>
  <c r="AL16" i="15"/>
  <c r="C58" i="16"/>
  <c r="E58" i="16" s="1"/>
  <c r="D60" i="16"/>
  <c r="F70" i="18" l="1"/>
  <c r="AM17" i="25"/>
  <c r="AM22" i="25" s="1"/>
  <c r="AM30" i="25" s="1"/>
  <c r="AL13" i="15"/>
  <c r="AL14" i="25"/>
  <c r="AF50" i="21"/>
  <c r="AF51" i="21" s="1"/>
  <c r="AF49" i="21"/>
  <c r="AF68" i="21" s="1"/>
  <c r="AF55" i="21" s="1"/>
  <c r="AF78" i="21"/>
  <c r="AK23" i="25"/>
  <c r="AK28" i="25" s="1"/>
  <c r="AK44" i="25" s="1"/>
  <c r="AK31" i="25"/>
  <c r="AH12" i="21"/>
  <c r="AG17" i="21" s="1"/>
  <c r="AG21" i="21" s="1"/>
  <c r="AG35" i="21" s="1"/>
  <c r="AG50" i="21" s="1"/>
  <c r="AK15" i="15"/>
  <c r="G58" i="16"/>
  <c r="J58" i="16"/>
  <c r="K56" i="16"/>
  <c r="L56" i="16" s="1"/>
  <c r="M56" i="16" s="1"/>
  <c r="N56" i="16" s="1"/>
  <c r="O56" i="16" s="1"/>
  <c r="P56" i="16" s="1"/>
  <c r="Q56" i="16" s="1"/>
  <c r="R56" i="16" s="1"/>
  <c r="S56" i="16" s="1"/>
  <c r="T56" i="16" s="1"/>
  <c r="U56" i="16" s="1"/>
  <c r="I56" i="16" s="1"/>
  <c r="AC43" i="21"/>
  <c r="AC44" i="21" s="1"/>
  <c r="AC45" i="21" s="1"/>
  <c r="AE88" i="21"/>
  <c r="AE58" i="21" s="1"/>
  <c r="AE91" i="21" s="1"/>
  <c r="AE60" i="21" s="1"/>
  <c r="AE95" i="21" s="1"/>
  <c r="AE42" i="21" s="1"/>
  <c r="AI23" i="21"/>
  <c r="AI22" i="21"/>
  <c r="AI20" i="21"/>
  <c r="AL27" i="25" s="1"/>
  <c r="AL43" i="25" s="1"/>
  <c r="AF67" i="21"/>
  <c r="AF54" i="21" s="1"/>
  <c r="AF77" i="21"/>
  <c r="AF71" i="21"/>
  <c r="AK26" i="15"/>
  <c r="AH34" i="21"/>
  <c r="AJ13" i="21"/>
  <c r="AJ16" i="21" s="1"/>
  <c r="AG48" i="21"/>
  <c r="AG76" i="21"/>
  <c r="AG75" i="21"/>
  <c r="AE80" i="21"/>
  <c r="AE59" i="21" s="1"/>
  <c r="AE92" i="21" s="1"/>
  <c r="AE61" i="21" s="1"/>
  <c r="AE96" i="21" s="1"/>
  <c r="D70" i="18"/>
  <c r="AM18" i="25" s="1"/>
  <c r="AM24" i="25" s="1"/>
  <c r="AM29" i="25" s="1"/>
  <c r="AJ28" i="15"/>
  <c r="AK23" i="15"/>
  <c r="AL17" i="15"/>
  <c r="AD57" i="21"/>
  <c r="AD89" i="21"/>
  <c r="AD59" i="21" s="1"/>
  <c r="E72" i="18"/>
  <c r="AN17" i="25" s="1"/>
  <c r="AN22" i="25" s="1"/>
  <c r="AN30" i="25" s="1"/>
  <c r="AM16" i="15"/>
  <c r="AM21" i="15" s="1"/>
  <c r="C60" i="16"/>
  <c r="E60" i="16" s="1"/>
  <c r="D62" i="16"/>
  <c r="AF72" i="21" l="1"/>
  <c r="AF57" i="21" s="1"/>
  <c r="AF80" i="21"/>
  <c r="AG79" i="21"/>
  <c r="AG78" i="21"/>
  <c r="AM13" i="15"/>
  <c r="AM14" i="25"/>
  <c r="AL15" i="15"/>
  <c r="AL16" i="25"/>
  <c r="AG49" i="21"/>
  <c r="AG68" i="21" s="1"/>
  <c r="AG55" i="21" s="1"/>
  <c r="AD92" i="21"/>
  <c r="AD61" i="21" s="1"/>
  <c r="AD96" i="21" s="1"/>
  <c r="AD97" i="21" s="1"/>
  <c r="AD98" i="21" s="1"/>
  <c r="AK13" i="21"/>
  <c r="AK16" i="21" s="1"/>
  <c r="F72" i="18"/>
  <c r="D72" i="18"/>
  <c r="AG51" i="21"/>
  <c r="AI12" i="21"/>
  <c r="AH17" i="21" s="1"/>
  <c r="AH21" i="21" s="1"/>
  <c r="AH35" i="21" s="1"/>
  <c r="AH79" i="21" s="1"/>
  <c r="K58" i="16"/>
  <c r="L58" i="16" s="1"/>
  <c r="M58" i="16" s="1"/>
  <c r="N58" i="16" s="1"/>
  <c r="O58" i="16" s="1"/>
  <c r="P58" i="16" s="1"/>
  <c r="Q58" i="16" s="1"/>
  <c r="R58" i="16" s="1"/>
  <c r="S58" i="16" s="1"/>
  <c r="T58" i="16" s="1"/>
  <c r="U58" i="16" s="1"/>
  <c r="I58" i="16" s="1"/>
  <c r="G60" i="16"/>
  <c r="AM16" i="25" s="1"/>
  <c r="J60" i="16"/>
  <c r="AE97" i="21"/>
  <c r="AE98" i="21" s="1"/>
  <c r="AJ20" i="21"/>
  <c r="AM27" i="25" s="1"/>
  <c r="AM43" i="25" s="1"/>
  <c r="AJ23" i="21"/>
  <c r="AJ22" i="21"/>
  <c r="AG71" i="21"/>
  <c r="AG56" i="21" s="1"/>
  <c r="AG67" i="21"/>
  <c r="AG54" i="21" s="1"/>
  <c r="AG77" i="21"/>
  <c r="AL26" i="15"/>
  <c r="AI34" i="21"/>
  <c r="AF56" i="21"/>
  <c r="AF88" i="21"/>
  <c r="AF58" i="21" s="1"/>
  <c r="AH75" i="21"/>
  <c r="AH76" i="21"/>
  <c r="AH48" i="21"/>
  <c r="AN16" i="15"/>
  <c r="AN21" i="15" s="1"/>
  <c r="AM29" i="15"/>
  <c r="AK28" i="15"/>
  <c r="AL23" i="15"/>
  <c r="AM17" i="15"/>
  <c r="AE43" i="21"/>
  <c r="AE44" i="21" s="1"/>
  <c r="AE45" i="21" s="1"/>
  <c r="E74" i="18"/>
  <c r="AO17" i="25" s="1"/>
  <c r="AO22" i="25" s="1"/>
  <c r="AO30" i="25" s="1"/>
  <c r="D64" i="16"/>
  <c r="C62" i="16"/>
  <c r="E62" i="16" s="1"/>
  <c r="AF89" i="21" l="1"/>
  <c r="AF59" i="21" s="1"/>
  <c r="AF92" i="21" s="1"/>
  <c r="AF61" i="21" s="1"/>
  <c r="AF96" i="21" s="1"/>
  <c r="AG80" i="21"/>
  <c r="AG72" i="21"/>
  <c r="AG89" i="21" s="1"/>
  <c r="AL31" i="25"/>
  <c r="AL23" i="25"/>
  <c r="AL28" i="25" s="1"/>
  <c r="AL44" i="25" s="1"/>
  <c r="AN13" i="15"/>
  <c r="AN14" i="25"/>
  <c r="AM23" i="25"/>
  <c r="AM28" i="25" s="1"/>
  <c r="AM44" i="25" s="1"/>
  <c r="AM31" i="25"/>
  <c r="AN17" i="15"/>
  <c r="AN23" i="15" s="1"/>
  <c r="AN28" i="15" s="1"/>
  <c r="AN18" i="25"/>
  <c r="AN24" i="25" s="1"/>
  <c r="AN29" i="25" s="1"/>
  <c r="AD43" i="21"/>
  <c r="AD44" i="21" s="1"/>
  <c r="AD45" i="21" s="1"/>
  <c r="AJ12" i="21"/>
  <c r="AI17" i="21" s="1"/>
  <c r="AI21" i="21" s="1"/>
  <c r="AI35" i="21" s="1"/>
  <c r="AI50" i="21" s="1"/>
  <c r="AM15" i="15"/>
  <c r="AH78" i="21"/>
  <c r="AL13" i="21"/>
  <c r="AL16" i="21" s="1"/>
  <c r="F74" i="18"/>
  <c r="D74" i="18"/>
  <c r="AH50" i="21"/>
  <c r="AH51" i="21" s="1"/>
  <c r="AH49" i="21"/>
  <c r="AH72" i="21" s="1"/>
  <c r="AH57" i="21" s="1"/>
  <c r="G62" i="16"/>
  <c r="AN16" i="25" s="1"/>
  <c r="J62" i="16"/>
  <c r="K60" i="16"/>
  <c r="L60" i="16" s="1"/>
  <c r="M60" i="16" s="1"/>
  <c r="N60" i="16" s="1"/>
  <c r="O60" i="16" s="1"/>
  <c r="P60" i="16" s="1"/>
  <c r="Q60" i="16" s="1"/>
  <c r="R60" i="16" s="1"/>
  <c r="S60" i="16" s="1"/>
  <c r="T60" i="16" s="1"/>
  <c r="U60" i="16" s="1"/>
  <c r="I60" i="16" s="1"/>
  <c r="AF91" i="21"/>
  <c r="AF60" i="21" s="1"/>
  <c r="AF95" i="21" s="1"/>
  <c r="AF42" i="21" s="1"/>
  <c r="AG88" i="21"/>
  <c r="AG58" i="21" s="1"/>
  <c r="AG91" i="21" s="1"/>
  <c r="AG60" i="21" s="1"/>
  <c r="AG95" i="21" s="1"/>
  <c r="AG42" i="21" s="1"/>
  <c r="AI48" i="21"/>
  <c r="AI75" i="21"/>
  <c r="AI76" i="21"/>
  <c r="AH67" i="21"/>
  <c r="AH54" i="21" s="1"/>
  <c r="AH71" i="21"/>
  <c r="AH56" i="21" s="1"/>
  <c r="AH77" i="21"/>
  <c r="AM26" i="15"/>
  <c r="AJ34" i="21"/>
  <c r="AK22" i="21"/>
  <c r="AK20" i="21"/>
  <c r="AK23" i="21"/>
  <c r="AN29" i="15"/>
  <c r="AO16" i="15"/>
  <c r="AO21" i="15" s="1"/>
  <c r="AL28" i="15"/>
  <c r="AM23" i="15"/>
  <c r="AM28" i="15" s="1"/>
  <c r="E76" i="18"/>
  <c r="C64" i="16"/>
  <c r="E64" i="16" s="1"/>
  <c r="D66" i="16"/>
  <c r="D68" i="16" s="1"/>
  <c r="AI79" i="21" l="1"/>
  <c r="AF43" i="21"/>
  <c r="AF44" i="21" s="1"/>
  <c r="AF45" i="21" s="1"/>
  <c r="AG57" i="21"/>
  <c r="AG59" i="21"/>
  <c r="AG92" i="21" s="1"/>
  <c r="AG61" i="21" s="1"/>
  <c r="AG96" i="21" s="1"/>
  <c r="AG97" i="21" s="1"/>
  <c r="AG98" i="21" s="1"/>
  <c r="F76" i="18"/>
  <c r="AP17" i="25"/>
  <c r="AP22" i="25" s="1"/>
  <c r="AP30" i="25" s="1"/>
  <c r="AI49" i="21"/>
  <c r="AI68" i="21" s="1"/>
  <c r="AI55" i="21" s="1"/>
  <c r="AN26" i="15"/>
  <c r="AN27" i="25"/>
  <c r="AN43" i="25" s="1"/>
  <c r="AI78" i="21"/>
  <c r="AO13" i="15"/>
  <c r="AO14" i="25"/>
  <c r="AN31" i="25"/>
  <c r="AN23" i="25"/>
  <c r="AN28" i="25" s="1"/>
  <c r="AN44" i="25" s="1"/>
  <c r="AO17" i="15"/>
  <c r="AO23" i="15" s="1"/>
  <c r="AO28" i="15" s="1"/>
  <c r="AO18" i="25"/>
  <c r="AO24" i="25" s="1"/>
  <c r="AO29" i="25" s="1"/>
  <c r="AK12" i="21"/>
  <c r="AJ17" i="21" s="1"/>
  <c r="AJ21" i="21" s="1"/>
  <c r="AJ35" i="21" s="1"/>
  <c r="AJ79" i="21" s="1"/>
  <c r="AN15" i="15"/>
  <c r="AH68" i="21"/>
  <c r="AH55" i="21" s="1"/>
  <c r="AI51" i="21"/>
  <c r="AH80" i="21"/>
  <c r="AH89" i="21"/>
  <c r="K62" i="16"/>
  <c r="L62" i="16" s="1"/>
  <c r="M62" i="16" s="1"/>
  <c r="N62" i="16" s="1"/>
  <c r="O62" i="16" s="1"/>
  <c r="P62" i="16" s="1"/>
  <c r="Q62" i="16" s="1"/>
  <c r="R62" i="16" s="1"/>
  <c r="S62" i="16" s="1"/>
  <c r="T62" i="16" s="1"/>
  <c r="U62" i="16" s="1"/>
  <c r="I62" i="16" s="1"/>
  <c r="G64" i="16"/>
  <c r="J64" i="16"/>
  <c r="AM30" i="15"/>
  <c r="AF97" i="21"/>
  <c r="AF98" i="21" s="1"/>
  <c r="AH88" i="21"/>
  <c r="AH58" i="21" s="1"/>
  <c r="AH91" i="21" s="1"/>
  <c r="AH60" i="21" s="1"/>
  <c r="AH95" i="21" s="1"/>
  <c r="AH42" i="21" s="1"/>
  <c r="AJ75" i="21"/>
  <c r="AJ48" i="21"/>
  <c r="AJ76" i="21"/>
  <c r="AI67" i="21"/>
  <c r="AI54" i="21" s="1"/>
  <c r="AI71" i="21"/>
  <c r="AI56" i="21" s="1"/>
  <c r="AI77" i="21"/>
  <c r="AM13" i="21"/>
  <c r="AM16" i="21" s="1"/>
  <c r="AM20" i="21" s="1"/>
  <c r="AM42" i="15"/>
  <c r="AK34" i="21"/>
  <c r="AL23" i="21"/>
  <c r="AL20" i="21"/>
  <c r="AL22" i="21"/>
  <c r="C68" i="16"/>
  <c r="E68" i="16" s="1"/>
  <c r="D70" i="16"/>
  <c r="AP16" i="15"/>
  <c r="AP21" i="15" s="1"/>
  <c r="D76" i="18"/>
  <c r="AO29" i="15"/>
  <c r="E78" i="18"/>
  <c r="C66" i="16"/>
  <c r="E66" i="16" s="1"/>
  <c r="AI80" i="21" l="1"/>
  <c r="AI72" i="21"/>
  <c r="AI89" i="21" s="1"/>
  <c r="AO26" i="15"/>
  <c r="AO27" i="25"/>
  <c r="AO43" i="25" s="1"/>
  <c r="AP26" i="15"/>
  <c r="AP27" i="25"/>
  <c r="AP43" i="25" s="1"/>
  <c r="F78" i="18"/>
  <c r="AQ17" i="25"/>
  <c r="AQ22" i="25" s="1"/>
  <c r="AQ30" i="25" s="1"/>
  <c r="AP13" i="15"/>
  <c r="AP14" i="25"/>
  <c r="AO15" i="15"/>
  <c r="AO16" i="25"/>
  <c r="AJ50" i="21"/>
  <c r="AJ51" i="21" s="1"/>
  <c r="AJ78" i="21"/>
  <c r="AJ49" i="21"/>
  <c r="AJ68" i="21" s="1"/>
  <c r="AJ55" i="21" s="1"/>
  <c r="AQ13" i="15"/>
  <c r="AQ14" i="25"/>
  <c r="AP17" i="15"/>
  <c r="AP23" i="15" s="1"/>
  <c r="AP28" i="15" s="1"/>
  <c r="AP18" i="25"/>
  <c r="AP24" i="25" s="1"/>
  <c r="AP29" i="25" s="1"/>
  <c r="AH59" i="21"/>
  <c r="AH92" i="21" s="1"/>
  <c r="AH61" i="21" s="1"/>
  <c r="AH96" i="21" s="1"/>
  <c r="AH97" i="21" s="1"/>
  <c r="AH98" i="21" s="1"/>
  <c r="AM22" i="15"/>
  <c r="AM27" i="15" s="1"/>
  <c r="AM43" i="15" s="1"/>
  <c r="AM65" i="15" s="1"/>
  <c r="G66" i="16"/>
  <c r="J66" i="16"/>
  <c r="K64" i="16"/>
  <c r="L64" i="16" s="1"/>
  <c r="M64" i="16" s="1"/>
  <c r="N64" i="16" s="1"/>
  <c r="O64" i="16" s="1"/>
  <c r="P64" i="16" s="1"/>
  <c r="Q64" i="16" s="1"/>
  <c r="R64" i="16" s="1"/>
  <c r="S64" i="16" s="1"/>
  <c r="T64" i="16" s="1"/>
  <c r="U64" i="16" s="1"/>
  <c r="I64" i="16" s="1"/>
  <c r="AL12" i="21"/>
  <c r="AK17" i="21" s="1"/>
  <c r="AK21" i="21" s="1"/>
  <c r="AK35" i="21" s="1"/>
  <c r="AK78" i="21" s="1"/>
  <c r="G68" i="16"/>
  <c r="AQ16" i="25" s="1"/>
  <c r="J68" i="16"/>
  <c r="AG43" i="21"/>
  <c r="AG44" i="21" s="1"/>
  <c r="AG45" i="21" s="1"/>
  <c r="AI88" i="21"/>
  <c r="AI58" i="21" s="1"/>
  <c r="AI91" i="21" s="1"/>
  <c r="AI60" i="21" s="1"/>
  <c r="AI95" i="21" s="1"/>
  <c r="AI42" i="21" s="1"/>
  <c r="AM23" i="21"/>
  <c r="AM22" i="21"/>
  <c r="AJ71" i="21"/>
  <c r="AJ56" i="21" s="1"/>
  <c r="AJ77" i="21"/>
  <c r="AJ67" i="21"/>
  <c r="AJ54" i="21" s="1"/>
  <c r="AN13" i="21"/>
  <c r="AN16" i="21" s="1"/>
  <c r="AN42" i="15"/>
  <c r="AL34" i="21"/>
  <c r="AL75" i="21" s="1"/>
  <c r="AM34" i="21"/>
  <c r="AO42" i="15"/>
  <c r="AO63" i="15" s="1"/>
  <c r="AO82" i="15" s="1"/>
  <c r="AO69" i="15" s="1"/>
  <c r="AK75" i="21"/>
  <c r="AK48" i="21"/>
  <c r="AK76" i="21"/>
  <c r="AM63" i="15"/>
  <c r="AM91" i="15"/>
  <c r="AM90" i="15"/>
  <c r="D72" i="16"/>
  <c r="C70" i="16"/>
  <c r="E70" i="16" s="1"/>
  <c r="AP29" i="15"/>
  <c r="AN22" i="15"/>
  <c r="AN27" i="15" s="1"/>
  <c r="AN43" i="15" s="1"/>
  <c r="AN30" i="15"/>
  <c r="D78" i="18"/>
  <c r="AQ16" i="15"/>
  <c r="AQ21" i="15" s="1"/>
  <c r="AI57" i="21" l="1"/>
  <c r="AI59" i="21"/>
  <c r="AJ72" i="21"/>
  <c r="AJ89" i="21" s="1"/>
  <c r="AJ80" i="21"/>
  <c r="AO23" i="25"/>
  <c r="AO28" i="25" s="1"/>
  <c r="AO44" i="25" s="1"/>
  <c r="AO31" i="25"/>
  <c r="AQ23" i="25"/>
  <c r="AQ28" i="25" s="1"/>
  <c r="AQ44" i="25" s="1"/>
  <c r="AQ31" i="25"/>
  <c r="AP15" i="15"/>
  <c r="AP22" i="15" s="1"/>
  <c r="AP27" i="15" s="1"/>
  <c r="AP43" i="15" s="1"/>
  <c r="AP64" i="15" s="1"/>
  <c r="AP16" i="25"/>
  <c r="AQ17" i="15"/>
  <c r="AQ23" i="15" s="1"/>
  <c r="AQ28" i="15" s="1"/>
  <c r="AQ18" i="25"/>
  <c r="AQ24" i="25" s="1"/>
  <c r="AQ29" i="25" s="1"/>
  <c r="AQ15" i="15"/>
  <c r="AM94" i="15"/>
  <c r="AM93" i="15"/>
  <c r="AM64" i="15"/>
  <c r="AM83" i="15" s="1"/>
  <c r="AM70" i="15" s="1"/>
  <c r="AH43" i="21"/>
  <c r="AH44" i="21" s="1"/>
  <c r="AH45" i="21" s="1"/>
  <c r="AM12" i="21"/>
  <c r="AL17" i="21" s="1"/>
  <c r="AL21" i="21" s="1"/>
  <c r="AL35" i="21" s="1"/>
  <c r="AL78" i="21" s="1"/>
  <c r="AK50" i="21"/>
  <c r="AK51" i="21" s="1"/>
  <c r="AK79" i="21"/>
  <c r="AN12" i="21"/>
  <c r="AM17" i="21" s="1"/>
  <c r="AM21" i="21" s="1"/>
  <c r="AM35" i="21" s="1"/>
  <c r="AM49" i="21" s="1"/>
  <c r="AK49" i="21"/>
  <c r="AK72" i="21" s="1"/>
  <c r="AK57" i="21" s="1"/>
  <c r="G70" i="16"/>
  <c r="AO12" i="21" s="1"/>
  <c r="AN17" i="21" s="1"/>
  <c r="AN21" i="21" s="1"/>
  <c r="AN35" i="21" s="1"/>
  <c r="J70" i="16"/>
  <c r="K68" i="16"/>
  <c r="L68" i="16" s="1"/>
  <c r="M68" i="16" s="1"/>
  <c r="N68" i="16" s="1"/>
  <c r="O68" i="16" s="1"/>
  <c r="P68" i="16" s="1"/>
  <c r="Q68" i="16" s="1"/>
  <c r="R68" i="16" s="1"/>
  <c r="S68" i="16" s="1"/>
  <c r="T68" i="16" s="1"/>
  <c r="U68" i="16" s="1"/>
  <c r="I68" i="16" s="1"/>
  <c r="K66" i="16"/>
  <c r="L66" i="16" s="1"/>
  <c r="M66" i="16" s="1"/>
  <c r="N66" i="16" s="1"/>
  <c r="O66" i="16" s="1"/>
  <c r="P66" i="16" s="1"/>
  <c r="Q66" i="16" s="1"/>
  <c r="R66" i="16" s="1"/>
  <c r="S66" i="16" s="1"/>
  <c r="T66" i="16" s="1"/>
  <c r="U66" i="16" s="1"/>
  <c r="I66" i="16" s="1"/>
  <c r="AJ88" i="21"/>
  <c r="AJ58" i="21" s="1"/>
  <c r="AJ91" i="21" s="1"/>
  <c r="AJ60" i="21" s="1"/>
  <c r="AJ95" i="21" s="1"/>
  <c r="AJ42" i="21" s="1"/>
  <c r="AN20" i="21"/>
  <c r="AN23" i="21"/>
  <c r="AN22" i="21"/>
  <c r="AN65" i="15"/>
  <c r="AO91" i="15"/>
  <c r="AM92" i="15"/>
  <c r="AM86" i="15"/>
  <c r="AM82" i="15"/>
  <c r="AM69" i="15" s="1"/>
  <c r="AM76" i="21"/>
  <c r="AM48" i="21"/>
  <c r="AM66" i="15"/>
  <c r="AP42" i="15"/>
  <c r="AP63" i="15" s="1"/>
  <c r="AP86" i="15" s="1"/>
  <c r="AP71" i="15" s="1"/>
  <c r="AL48" i="21"/>
  <c r="AL76" i="21"/>
  <c r="AK71" i="21"/>
  <c r="AK56" i="21" s="1"/>
  <c r="AK77" i="21"/>
  <c r="AK67" i="21"/>
  <c r="AK54" i="21" s="1"/>
  <c r="AO90" i="15"/>
  <c r="AN63" i="15"/>
  <c r="AN91" i="15"/>
  <c r="AN90" i="15"/>
  <c r="AM75" i="21"/>
  <c r="C72" i="16"/>
  <c r="E72" i="16" s="1"/>
  <c r="D74" i="16"/>
  <c r="AO86" i="15"/>
  <c r="AO71" i="15" s="1"/>
  <c r="AN93" i="15"/>
  <c r="AN64" i="15"/>
  <c r="AN83" i="15" s="1"/>
  <c r="AN70" i="15" s="1"/>
  <c r="AN94" i="15"/>
  <c r="AO22" i="15"/>
  <c r="AO27" i="15" s="1"/>
  <c r="AO43" i="15" s="1"/>
  <c r="AO94" i="15" s="1"/>
  <c r="AO30" i="15"/>
  <c r="AQ29" i="15"/>
  <c r="AI92" i="21" l="1"/>
  <c r="AI61" i="21" s="1"/>
  <c r="AI96" i="21" s="1"/>
  <c r="AI97" i="21" s="1"/>
  <c r="AI98" i="21" s="1"/>
  <c r="AJ59" i="21"/>
  <c r="AJ57" i="21"/>
  <c r="AQ26" i="15"/>
  <c r="AQ42" i="15" s="1"/>
  <c r="AQ63" i="15" s="1"/>
  <c r="AQ27" i="25"/>
  <c r="AQ43" i="25" s="1"/>
  <c r="AP30" i="15"/>
  <c r="AP87" i="15" s="1"/>
  <c r="AP72" i="15" s="1"/>
  <c r="AP23" i="25"/>
  <c r="AP28" i="25" s="1"/>
  <c r="AP44" i="25" s="1"/>
  <c r="AP31" i="25"/>
  <c r="AM87" i="15"/>
  <c r="AM72" i="15" s="1"/>
  <c r="AN34" i="21"/>
  <c r="AN76" i="21" s="1"/>
  <c r="AM95" i="15"/>
  <c r="AL49" i="21"/>
  <c r="AL72" i="21" s="1"/>
  <c r="AL57" i="21" s="1"/>
  <c r="AQ22" i="15"/>
  <c r="AQ27" i="15" s="1"/>
  <c r="AQ43" i="15" s="1"/>
  <c r="AQ94" i="15" s="1"/>
  <c r="AL79" i="21"/>
  <c r="AL50" i="21"/>
  <c r="AL51" i="21" s="1"/>
  <c r="AM50" i="21"/>
  <c r="AM51" i="21" s="1"/>
  <c r="AM79" i="21"/>
  <c r="AM78" i="21"/>
  <c r="AK68" i="21"/>
  <c r="AK55" i="21" s="1"/>
  <c r="AK80" i="21"/>
  <c r="G72" i="16"/>
  <c r="J72" i="16"/>
  <c r="K70" i="16"/>
  <c r="L70" i="16" s="1"/>
  <c r="M70" i="16" s="1"/>
  <c r="N70" i="16" s="1"/>
  <c r="O70" i="16" s="1"/>
  <c r="P70" i="16" s="1"/>
  <c r="Q70" i="16" s="1"/>
  <c r="R70" i="16" s="1"/>
  <c r="S70" i="16" s="1"/>
  <c r="T70" i="16" s="1"/>
  <c r="U70" i="16" s="1"/>
  <c r="I70" i="16" s="1"/>
  <c r="AP82" i="15"/>
  <c r="AP69" i="15" s="1"/>
  <c r="AP90" i="15"/>
  <c r="AO92" i="15"/>
  <c r="AL77" i="21"/>
  <c r="AP65" i="15"/>
  <c r="AP66" i="15" s="1"/>
  <c r="AP94" i="15"/>
  <c r="AM71" i="21"/>
  <c r="AM56" i="21" s="1"/>
  <c r="AM67" i="21"/>
  <c r="AM54" i="21" s="1"/>
  <c r="AM77" i="21"/>
  <c r="AN86" i="15"/>
  <c r="AN71" i="15" s="1"/>
  <c r="AN82" i="15"/>
  <c r="AN69" i="15" s="1"/>
  <c r="AN92" i="15"/>
  <c r="AL71" i="21"/>
  <c r="AL56" i="21" s="1"/>
  <c r="AL67" i="21"/>
  <c r="AL54" i="21" s="1"/>
  <c r="AM71" i="15"/>
  <c r="AM103" i="15"/>
  <c r="AM73" i="15" s="1"/>
  <c r="AP91" i="15"/>
  <c r="AK88" i="21"/>
  <c r="AK58" i="21" s="1"/>
  <c r="AK91" i="21" s="1"/>
  <c r="AK60" i="21" s="1"/>
  <c r="AK95" i="21" s="1"/>
  <c r="AK42" i="21" s="1"/>
  <c r="AN66" i="15"/>
  <c r="AN49" i="21"/>
  <c r="AN79" i="21"/>
  <c r="AN78" i="21"/>
  <c r="AM72" i="21"/>
  <c r="AM57" i="21" s="1"/>
  <c r="AM68" i="21"/>
  <c r="AM55" i="21" s="1"/>
  <c r="C74" i="16"/>
  <c r="D76" i="16"/>
  <c r="AO103" i="15"/>
  <c r="AO64" i="15"/>
  <c r="AO65" i="15"/>
  <c r="AO66" i="15" s="1"/>
  <c r="AN87" i="15"/>
  <c r="AN72" i="15" s="1"/>
  <c r="AO93" i="15"/>
  <c r="AN95" i="15"/>
  <c r="AQ90" i="15"/>
  <c r="AP103" i="15"/>
  <c r="AK89" i="21"/>
  <c r="AJ92" i="21" l="1"/>
  <c r="AJ61" i="21" s="1"/>
  <c r="AJ96" i="21" s="1"/>
  <c r="AJ97" i="21" s="1"/>
  <c r="AJ98" i="21" s="1"/>
  <c r="AQ91" i="15"/>
  <c r="AQ92" i="15" s="1"/>
  <c r="AI43" i="21"/>
  <c r="AI44" i="21" s="1"/>
  <c r="AI45" i="21" s="1"/>
  <c r="AP93" i="15"/>
  <c r="AP95" i="15" s="1"/>
  <c r="AP83" i="15"/>
  <c r="AP70" i="15" s="1"/>
  <c r="AN75" i="21"/>
  <c r="AN50" i="21"/>
  <c r="AN48" i="21"/>
  <c r="AN67" i="21" s="1"/>
  <c r="AN54" i="21" s="1"/>
  <c r="AM104" i="15"/>
  <c r="AM74" i="15" s="1"/>
  <c r="AM107" i="15" s="1"/>
  <c r="AM76" i="15" s="1"/>
  <c r="AM111" i="15" s="1"/>
  <c r="AQ30" i="15"/>
  <c r="AQ93" i="15" s="1"/>
  <c r="AL89" i="21"/>
  <c r="AL68" i="21"/>
  <c r="AL55" i="21" s="1"/>
  <c r="AL80" i="21"/>
  <c r="AM80" i="21"/>
  <c r="AQ65" i="15"/>
  <c r="AQ66" i="15" s="1"/>
  <c r="AQ64" i="15"/>
  <c r="AK59" i="21"/>
  <c r="AK92" i="21" s="1"/>
  <c r="AK61" i="21" s="1"/>
  <c r="AK96" i="21" s="1"/>
  <c r="AK97" i="21" s="1"/>
  <c r="AK98" i="21" s="1"/>
  <c r="K72" i="16"/>
  <c r="L72" i="16" s="1"/>
  <c r="M72" i="16" s="1"/>
  <c r="N72" i="16" s="1"/>
  <c r="O72" i="16" s="1"/>
  <c r="P72" i="16" s="1"/>
  <c r="Q72" i="16" s="1"/>
  <c r="R72" i="16" s="1"/>
  <c r="S72" i="16" s="1"/>
  <c r="T72" i="16" s="1"/>
  <c r="U72" i="16" s="1"/>
  <c r="I72" i="16" s="1"/>
  <c r="AO73" i="15"/>
  <c r="AO106" i="15" s="1"/>
  <c r="AO75" i="15" s="1"/>
  <c r="AO110" i="15" s="1"/>
  <c r="AO50" i="15" s="1"/>
  <c r="AM106" i="15"/>
  <c r="AM75" i="15" s="1"/>
  <c r="AM110" i="15" s="1"/>
  <c r="AM50" i="15" s="1"/>
  <c r="AM57" i="15" s="1"/>
  <c r="AM58" i="15" s="1"/>
  <c r="AP92" i="15"/>
  <c r="AP73" i="15" s="1"/>
  <c r="AP106" i="15" s="1"/>
  <c r="AP75" i="15" s="1"/>
  <c r="AP110" i="15" s="1"/>
  <c r="AP50" i="15" s="1"/>
  <c r="C17" i="24" s="1"/>
  <c r="AM88" i="21"/>
  <c r="AM58" i="21" s="1"/>
  <c r="AM91" i="21" s="1"/>
  <c r="AM60" i="21" s="1"/>
  <c r="AM95" i="21" s="1"/>
  <c r="AM42" i="21" s="1"/>
  <c r="AP104" i="15"/>
  <c r="AO83" i="15"/>
  <c r="AO70" i="15" s="1"/>
  <c r="AL88" i="21"/>
  <c r="AL58" i="21" s="1"/>
  <c r="AL91" i="21" s="1"/>
  <c r="AL60" i="21" s="1"/>
  <c r="AL95" i="21" s="1"/>
  <c r="AN103" i="15"/>
  <c r="AN73" i="15" s="1"/>
  <c r="AN106" i="15" s="1"/>
  <c r="AN75" i="15" s="1"/>
  <c r="AN110" i="15" s="1"/>
  <c r="AN50" i="15" s="1"/>
  <c r="AN57" i="15" s="1"/>
  <c r="AM89" i="21"/>
  <c r="AN80" i="21"/>
  <c r="AN68" i="21"/>
  <c r="AN55" i="21" s="1"/>
  <c r="AN72" i="21"/>
  <c r="AN57" i="21" s="1"/>
  <c r="C76" i="16"/>
  <c r="E76" i="16" s="1"/>
  <c r="D78" i="16"/>
  <c r="E74" i="16"/>
  <c r="J74" i="16" s="1"/>
  <c r="AN104" i="15"/>
  <c r="AN74" i="15" s="1"/>
  <c r="AN107" i="15" s="1"/>
  <c r="AN76" i="15" s="1"/>
  <c r="AN111" i="15" s="1"/>
  <c r="AO87" i="15"/>
  <c r="AO72" i="15" s="1"/>
  <c r="AO95" i="15"/>
  <c r="AQ82" i="15"/>
  <c r="AQ69" i="15" s="1"/>
  <c r="AQ86" i="15"/>
  <c r="AQ71" i="15" s="1"/>
  <c r="J19" i="15"/>
  <c r="J21" i="15" s="1"/>
  <c r="AJ43" i="21" l="1"/>
  <c r="AJ44" i="21" s="1"/>
  <c r="AJ45" i="21" s="1"/>
  <c r="AN71" i="21"/>
  <c r="AN56" i="21" s="1"/>
  <c r="AN77" i="21"/>
  <c r="AN51" i="21"/>
  <c r="AM59" i="21"/>
  <c r="AM92" i="21" s="1"/>
  <c r="AM61" i="21" s="1"/>
  <c r="AM96" i="21" s="1"/>
  <c r="AM97" i="21" s="1"/>
  <c r="AM98" i="21" s="1"/>
  <c r="AM51" i="15"/>
  <c r="AM59" i="15" s="1"/>
  <c r="AM60" i="15" s="1"/>
  <c r="AQ83" i="15"/>
  <c r="AQ70" i="15" s="1"/>
  <c r="AL59" i="21"/>
  <c r="AL92" i="21" s="1"/>
  <c r="AL61" i="21" s="1"/>
  <c r="AL96" i="21" s="1"/>
  <c r="AL97" i="21" s="1"/>
  <c r="AL98" i="21" s="1"/>
  <c r="AQ87" i="15"/>
  <c r="AQ72" i="15" s="1"/>
  <c r="AQ95" i="15"/>
  <c r="AK43" i="21"/>
  <c r="AK44" i="21" s="1"/>
  <c r="AK45" i="21" s="1"/>
  <c r="G76" i="16"/>
  <c r="J76" i="16"/>
  <c r="AM112" i="15"/>
  <c r="AM113" i="15" s="1"/>
  <c r="AP57" i="15"/>
  <c r="AP58" i="15" s="1"/>
  <c r="AP74" i="15"/>
  <c r="AP107" i="15" s="1"/>
  <c r="AP76" i="15" s="1"/>
  <c r="AP111" i="15" s="1"/>
  <c r="AP51" i="15" s="1"/>
  <c r="D17" i="24" s="1"/>
  <c r="AN112" i="15"/>
  <c r="AN113" i="15" s="1"/>
  <c r="AL42" i="21"/>
  <c r="AN89" i="21"/>
  <c r="AN59" i="21" s="1"/>
  <c r="AN92" i="21" s="1"/>
  <c r="AN61" i="21" s="1"/>
  <c r="C78" i="16"/>
  <c r="D80" i="16"/>
  <c r="G74" i="16"/>
  <c r="K74" i="16" s="1"/>
  <c r="L74" i="16" s="1"/>
  <c r="M74" i="16" s="1"/>
  <c r="N74" i="16" s="1"/>
  <c r="O74" i="16" s="1"/>
  <c r="P74" i="16" s="1"/>
  <c r="Q74" i="16" s="1"/>
  <c r="R74" i="16" s="1"/>
  <c r="S74" i="16" s="1"/>
  <c r="T74" i="16" s="1"/>
  <c r="U74" i="16" s="1"/>
  <c r="I74" i="16" s="1"/>
  <c r="AO104" i="15"/>
  <c r="AO74" i="15" s="1"/>
  <c r="AO107" i="15" s="1"/>
  <c r="AO76" i="15" s="1"/>
  <c r="AO111" i="15" s="1"/>
  <c r="AO112" i="15" s="1"/>
  <c r="AO113" i="15" s="1"/>
  <c r="J22" i="15"/>
  <c r="J30" i="15"/>
  <c r="AN51" i="15"/>
  <c r="AQ103" i="15"/>
  <c r="AQ73" i="15" s="1"/>
  <c r="AQ106" i="15" s="1"/>
  <c r="AQ75" i="15" s="1"/>
  <c r="K19" i="15"/>
  <c r="K21" i="15" s="1"/>
  <c r="AN88" i="21" l="1"/>
  <c r="AN58" i="21" s="1"/>
  <c r="AN91" i="21" s="1"/>
  <c r="AN60" i="21" s="1"/>
  <c r="AN95" i="21" s="1"/>
  <c r="AN42" i="21" s="1"/>
  <c r="AO57" i="15"/>
  <c r="AO58" i="15" s="1"/>
  <c r="AP59" i="15"/>
  <c r="AP60" i="15" s="1"/>
  <c r="J43" i="15"/>
  <c r="J42" i="15"/>
  <c r="J63" i="15" s="1"/>
  <c r="AM43" i="21"/>
  <c r="AM44" i="21" s="1"/>
  <c r="AM45" i="21" s="1"/>
  <c r="AM53" i="15"/>
  <c r="AM54" i="15" s="1"/>
  <c r="AQ104" i="15"/>
  <c r="AQ74" i="15" s="1"/>
  <c r="AQ107" i="15" s="1"/>
  <c r="AQ76" i="15" s="1"/>
  <c r="AQ111" i="15" s="1"/>
  <c r="AQ51" i="15" s="1"/>
  <c r="AL43" i="21"/>
  <c r="AL44" i="21" s="1"/>
  <c r="AL45" i="21" s="1"/>
  <c r="K76" i="16"/>
  <c r="L76" i="16" s="1"/>
  <c r="M76" i="16" s="1"/>
  <c r="N76" i="16" s="1"/>
  <c r="O76" i="16" s="1"/>
  <c r="P76" i="16" s="1"/>
  <c r="Q76" i="16" s="1"/>
  <c r="R76" i="16" s="1"/>
  <c r="S76" i="16" s="1"/>
  <c r="T76" i="16" s="1"/>
  <c r="U76" i="16" s="1"/>
  <c r="I76" i="16" s="1"/>
  <c r="AP112" i="15"/>
  <c r="AP113" i="15" s="1"/>
  <c r="AP53" i="15"/>
  <c r="AP54" i="15" s="1"/>
  <c r="AN53" i="15"/>
  <c r="AN54" i="15" s="1"/>
  <c r="AN59" i="15"/>
  <c r="AN60" i="15" s="1"/>
  <c r="AN96" i="21"/>
  <c r="C80" i="16"/>
  <c r="E80" i="16" s="1"/>
  <c r="D82" i="16"/>
  <c r="E78" i="16"/>
  <c r="J78" i="16" s="1"/>
  <c r="K22" i="15"/>
  <c r="K30" i="15"/>
  <c r="AO51" i="15"/>
  <c r="AO59" i="15" s="1"/>
  <c r="AO60" i="15" s="1"/>
  <c r="AQ110" i="15"/>
  <c r="AQ50" i="15" s="1"/>
  <c r="J29" i="15"/>
  <c r="L19" i="15"/>
  <c r="L21" i="15" s="1"/>
  <c r="AN58" i="15" l="1"/>
  <c r="G80" i="16"/>
  <c r="J80" i="16"/>
  <c r="AQ59" i="15"/>
  <c r="AQ60" i="15" s="1"/>
  <c r="AN97" i="21"/>
  <c r="AN98" i="21" s="1"/>
  <c r="AQ57" i="15"/>
  <c r="AQ58" i="15" s="1"/>
  <c r="E17" i="24"/>
  <c r="G17" i="24" s="1"/>
  <c r="AN43" i="21"/>
  <c r="AN44" i="21" s="1"/>
  <c r="AN45" i="21" s="1"/>
  <c r="C82" i="16"/>
  <c r="D84" i="16"/>
  <c r="G78" i="16"/>
  <c r="K78" i="16" s="1"/>
  <c r="L78" i="16" s="1"/>
  <c r="M78" i="16" s="1"/>
  <c r="N78" i="16" s="1"/>
  <c r="O78" i="16" s="1"/>
  <c r="P78" i="16" s="1"/>
  <c r="Q78" i="16" s="1"/>
  <c r="R78" i="16" s="1"/>
  <c r="S78" i="16" s="1"/>
  <c r="T78" i="16" s="1"/>
  <c r="U78" i="16" s="1"/>
  <c r="I78" i="16" s="1"/>
  <c r="L22" i="15"/>
  <c r="L27" i="15" s="1"/>
  <c r="L30" i="15"/>
  <c r="AO53" i="15"/>
  <c r="AO54" i="15" s="1"/>
  <c r="AQ112" i="15"/>
  <c r="AQ113" i="15" s="1"/>
  <c r="AQ53" i="15"/>
  <c r="AQ54" i="15" s="1"/>
  <c r="K29" i="15"/>
  <c r="J90" i="15"/>
  <c r="J93" i="15"/>
  <c r="J91" i="15"/>
  <c r="J65" i="15"/>
  <c r="J66" i="15" s="1"/>
  <c r="J94" i="15"/>
  <c r="J64" i="15"/>
  <c r="J87" i="15" s="1"/>
  <c r="J72" i="15" s="1"/>
  <c r="J82" i="15"/>
  <c r="J69" i="15" s="1"/>
  <c r="J86" i="15"/>
  <c r="J71" i="15" s="1"/>
  <c r="M19" i="15"/>
  <c r="M21" i="15" s="1"/>
  <c r="K42" i="15" l="1"/>
  <c r="K90" i="15" s="1"/>
  <c r="L42" i="15"/>
  <c r="K80" i="16"/>
  <c r="L80" i="16" s="1"/>
  <c r="M80" i="16" s="1"/>
  <c r="N80" i="16" s="1"/>
  <c r="O80" i="16" s="1"/>
  <c r="P80" i="16" s="1"/>
  <c r="Q80" i="16" s="1"/>
  <c r="R80" i="16" s="1"/>
  <c r="S80" i="16" s="1"/>
  <c r="T80" i="16" s="1"/>
  <c r="U80" i="16" s="1"/>
  <c r="I80" i="16" s="1"/>
  <c r="C84" i="16"/>
  <c r="E84" i="16" s="1"/>
  <c r="D86" i="16"/>
  <c r="C86" i="16" s="1"/>
  <c r="E86" i="16" s="1"/>
  <c r="E82" i="16"/>
  <c r="J82" i="16" s="1"/>
  <c r="M22" i="15"/>
  <c r="M27" i="15" s="1"/>
  <c r="M30" i="15"/>
  <c r="L29" i="15"/>
  <c r="J92" i="15"/>
  <c r="J83" i="15"/>
  <c r="J70" i="15" s="1"/>
  <c r="J95" i="15"/>
  <c r="K43" i="15"/>
  <c r="K64" i="15" s="1"/>
  <c r="J103" i="15"/>
  <c r="J104" i="15"/>
  <c r="N19" i="15"/>
  <c r="N21" i="15" s="1"/>
  <c r="K63" i="15" l="1"/>
  <c r="K82" i="15" s="1"/>
  <c r="K69" i="15" s="1"/>
  <c r="K91" i="15"/>
  <c r="G86" i="16"/>
  <c r="J86" i="16"/>
  <c r="G84" i="16"/>
  <c r="J84" i="16"/>
  <c r="C89" i="16"/>
  <c r="G82" i="16"/>
  <c r="K82" i="16" s="1"/>
  <c r="L82" i="16" s="1"/>
  <c r="M82" i="16" s="1"/>
  <c r="N82" i="16" s="1"/>
  <c r="O82" i="16" s="1"/>
  <c r="P82" i="16" s="1"/>
  <c r="Q82" i="16" s="1"/>
  <c r="R82" i="16" s="1"/>
  <c r="S82" i="16" s="1"/>
  <c r="T82" i="16" s="1"/>
  <c r="U82" i="16" s="1"/>
  <c r="I82" i="16" s="1"/>
  <c r="E89" i="16"/>
  <c r="N22" i="15"/>
  <c r="N27" i="15" s="1"/>
  <c r="N30" i="15"/>
  <c r="M29" i="15"/>
  <c r="J73" i="15"/>
  <c r="J106" i="15" s="1"/>
  <c r="J75" i="15" s="1"/>
  <c r="J110" i="15" s="1"/>
  <c r="J50" i="15" s="1"/>
  <c r="J58" i="15" s="1"/>
  <c r="K93" i="15"/>
  <c r="J74" i="15"/>
  <c r="J107" i="15" s="1"/>
  <c r="J76" i="15" s="1"/>
  <c r="K94" i="15"/>
  <c r="K65" i="15"/>
  <c r="L43" i="15"/>
  <c r="L65" i="15" s="1"/>
  <c r="L90" i="15"/>
  <c r="L63" i="15"/>
  <c r="L91" i="15"/>
  <c r="K83" i="15"/>
  <c r="K70" i="15" s="1"/>
  <c r="K87" i="15"/>
  <c r="K72" i="15" s="1"/>
  <c r="O19" i="15"/>
  <c r="O21" i="15" s="1"/>
  <c r="K92" i="15" l="1"/>
  <c r="K66" i="15"/>
  <c r="K86" i="15"/>
  <c r="K71" i="15" s="1"/>
  <c r="M42" i="15"/>
  <c r="M90" i="15" s="1"/>
  <c r="N42" i="15"/>
  <c r="K86" i="16"/>
  <c r="L86" i="16" s="1"/>
  <c r="M86" i="16" s="1"/>
  <c r="N86" i="16" s="1"/>
  <c r="O86" i="16" s="1"/>
  <c r="P86" i="16" s="1"/>
  <c r="Q86" i="16" s="1"/>
  <c r="R86" i="16" s="1"/>
  <c r="S86" i="16" s="1"/>
  <c r="T86" i="16" s="1"/>
  <c r="U86" i="16" s="1"/>
  <c r="I86" i="16" s="1"/>
  <c r="K84" i="16"/>
  <c r="L84" i="16" s="1"/>
  <c r="M84" i="16" s="1"/>
  <c r="N84" i="16" s="1"/>
  <c r="O84" i="16" s="1"/>
  <c r="P84" i="16" s="1"/>
  <c r="Q84" i="16" s="1"/>
  <c r="R84" i="16" s="1"/>
  <c r="S84" i="16" s="1"/>
  <c r="T84" i="16" s="1"/>
  <c r="U84" i="16" s="1"/>
  <c r="I84" i="16" s="1"/>
  <c r="O22" i="15"/>
  <c r="O30" i="15"/>
  <c r="N29" i="15"/>
  <c r="K95" i="15"/>
  <c r="J111" i="15"/>
  <c r="J112" i="15" s="1"/>
  <c r="J113" i="15" s="1"/>
  <c r="L93" i="15"/>
  <c r="L94" i="15"/>
  <c r="L64" i="15"/>
  <c r="M43" i="15"/>
  <c r="M64" i="15" s="1"/>
  <c r="L86" i="15"/>
  <c r="L71" i="15" s="1"/>
  <c r="L82" i="15"/>
  <c r="L69" i="15" s="1"/>
  <c r="L92" i="15"/>
  <c r="K104" i="15"/>
  <c r="L66" i="15"/>
  <c r="P19" i="15"/>
  <c r="P21" i="15" s="1"/>
  <c r="K103" i="15" l="1"/>
  <c r="K73" i="15" s="1"/>
  <c r="K106" i="15" s="1"/>
  <c r="K75" i="15" s="1"/>
  <c r="K110" i="15" s="1"/>
  <c r="K50" i="15" s="1"/>
  <c r="K58" i="15" s="1"/>
  <c r="M91" i="15"/>
  <c r="M63" i="15"/>
  <c r="M86" i="15" s="1"/>
  <c r="M71" i="15" s="1"/>
  <c r="I89" i="16"/>
  <c r="L83" i="15"/>
  <c r="L70" i="15" s="1"/>
  <c r="P22" i="15"/>
  <c r="P30" i="15"/>
  <c r="O29" i="15"/>
  <c r="J51" i="15"/>
  <c r="J60" i="15" s="1"/>
  <c r="K74" i="15"/>
  <c r="K107" i="15" s="1"/>
  <c r="K76" i="15" s="1"/>
  <c r="K111" i="15" s="1"/>
  <c r="L87" i="15"/>
  <c r="L72" i="15" s="1"/>
  <c r="M65" i="15"/>
  <c r="M94" i="15"/>
  <c r="M93" i="15"/>
  <c r="L95" i="15"/>
  <c r="N43" i="15"/>
  <c r="N93" i="15" s="1"/>
  <c r="N90" i="15"/>
  <c r="L103" i="15"/>
  <c r="L73" i="15" s="1"/>
  <c r="L106" i="15" s="1"/>
  <c r="L75" i="15" s="1"/>
  <c r="M87" i="15"/>
  <c r="M72" i="15" s="1"/>
  <c r="M83" i="15"/>
  <c r="M70" i="15" s="1"/>
  <c r="O42" i="15"/>
  <c r="N91" i="15"/>
  <c r="N63" i="15"/>
  <c r="Q19" i="15"/>
  <c r="Q21" i="15" s="1"/>
  <c r="K112" i="15" l="1"/>
  <c r="K113" i="15" s="1"/>
  <c r="M92" i="15"/>
  <c r="M82" i="15"/>
  <c r="M69" i="15" s="1"/>
  <c r="M66" i="15"/>
  <c r="Q22" i="15"/>
  <c r="Q30" i="15"/>
  <c r="P29" i="15"/>
  <c r="K51" i="15"/>
  <c r="K60" i="15" s="1"/>
  <c r="J53" i="15"/>
  <c r="L110" i="15"/>
  <c r="L50" i="15" s="1"/>
  <c r="L104" i="15"/>
  <c r="L74" i="15" s="1"/>
  <c r="L107" i="15" s="1"/>
  <c r="L76" i="15" s="1"/>
  <c r="L111" i="15" s="1"/>
  <c r="M95" i="15"/>
  <c r="N65" i="15"/>
  <c r="N66" i="15" s="1"/>
  <c r="N94" i="15"/>
  <c r="N64" i="15"/>
  <c r="N87" i="15" s="1"/>
  <c r="N72" i="15" s="1"/>
  <c r="O27" i="15"/>
  <c r="O43" i="15" s="1"/>
  <c r="O94" i="15" s="1"/>
  <c r="M103" i="15"/>
  <c r="M104" i="15"/>
  <c r="O90" i="15"/>
  <c r="P42" i="15"/>
  <c r="N92" i="15"/>
  <c r="N82" i="15"/>
  <c r="N69" i="15" s="1"/>
  <c r="N86" i="15"/>
  <c r="N71" i="15" s="1"/>
  <c r="O91" i="15"/>
  <c r="O63" i="15"/>
  <c r="R19" i="15"/>
  <c r="R21" i="15" s="1"/>
  <c r="M73" i="15" l="1"/>
  <c r="M106" i="15" s="1"/>
  <c r="M75" i="15" s="1"/>
  <c r="M110" i="15" s="1"/>
  <c r="M50" i="15" s="1"/>
  <c r="C8" i="24" s="1"/>
  <c r="L57" i="15"/>
  <c r="L58" i="15" s="1"/>
  <c r="R22" i="15"/>
  <c r="R30" i="15"/>
  <c r="Q29" i="15"/>
  <c r="J54" i="15"/>
  <c r="K53" i="15"/>
  <c r="L112" i="15"/>
  <c r="L113" i="15" s="1"/>
  <c r="L51" i="15"/>
  <c r="M74" i="15"/>
  <c r="M107" i="15" s="1"/>
  <c r="M76" i="15" s="1"/>
  <c r="M111" i="15" s="1"/>
  <c r="M51" i="15" s="1"/>
  <c r="O64" i="15"/>
  <c r="O87" i="15" s="1"/>
  <c r="O72" i="15" s="1"/>
  <c r="O65" i="15"/>
  <c r="O66" i="15" s="1"/>
  <c r="O93" i="15"/>
  <c r="N95" i="15"/>
  <c r="N83" i="15"/>
  <c r="N70" i="15" s="1"/>
  <c r="P27" i="15"/>
  <c r="P43" i="15" s="1"/>
  <c r="P90" i="15"/>
  <c r="Q42" i="15"/>
  <c r="N104" i="15"/>
  <c r="O86" i="15"/>
  <c r="O71" i="15" s="1"/>
  <c r="O82" i="15"/>
  <c r="O69" i="15" s="1"/>
  <c r="O92" i="15"/>
  <c r="P91" i="15"/>
  <c r="P63" i="15"/>
  <c r="N103" i="15"/>
  <c r="N73" i="15" s="1"/>
  <c r="N106" i="15" s="1"/>
  <c r="N75" i="15" s="1"/>
  <c r="N110" i="15" s="1"/>
  <c r="N50" i="15" s="1"/>
  <c r="C9" i="24" s="1"/>
  <c r="S19" i="15"/>
  <c r="S21" i="15" s="1"/>
  <c r="E7" i="24" l="1"/>
  <c r="G7" i="24" s="1"/>
  <c r="N57" i="15"/>
  <c r="N58" i="15" s="1"/>
  <c r="M57" i="15"/>
  <c r="M58" i="15" s="1"/>
  <c r="M59" i="15"/>
  <c r="M60" i="15" s="1"/>
  <c r="D8" i="24"/>
  <c r="E8" i="24" s="1"/>
  <c r="G8" i="24" s="1"/>
  <c r="L59" i="15"/>
  <c r="L60" i="15" s="1"/>
  <c r="S22" i="15"/>
  <c r="S30" i="15"/>
  <c r="R29" i="15"/>
  <c r="K54" i="15"/>
  <c r="L53" i="15"/>
  <c r="M53" i="15"/>
  <c r="M112" i="15"/>
  <c r="M113" i="15" s="1"/>
  <c r="O83" i="15"/>
  <c r="O70" i="15" s="1"/>
  <c r="O95" i="15"/>
  <c r="P64" i="15"/>
  <c r="N74" i="15"/>
  <c r="N107" i="15" s="1"/>
  <c r="N76" i="15" s="1"/>
  <c r="N111" i="15" s="1"/>
  <c r="N112" i="15" s="1"/>
  <c r="N113" i="15" s="1"/>
  <c r="P93" i="15"/>
  <c r="P65" i="15"/>
  <c r="P66" i="15" s="1"/>
  <c r="P94" i="15"/>
  <c r="Q27" i="15"/>
  <c r="Q43" i="15" s="1"/>
  <c r="O104" i="15"/>
  <c r="Q90" i="15"/>
  <c r="Q91" i="15"/>
  <c r="Q63" i="15"/>
  <c r="O103" i="15"/>
  <c r="O73" i="15" s="1"/>
  <c r="O106" i="15" s="1"/>
  <c r="O75" i="15" s="1"/>
  <c r="O110" i="15" s="1"/>
  <c r="O50" i="15" s="1"/>
  <c r="C10" i="24" s="1"/>
  <c r="R42" i="15"/>
  <c r="P82" i="15"/>
  <c r="P69" i="15" s="1"/>
  <c r="P92" i="15"/>
  <c r="P86" i="15"/>
  <c r="P71" i="15" s="1"/>
  <c r="T19" i="15"/>
  <c r="T21" i="15" s="1"/>
  <c r="O57" i="15" l="1"/>
  <c r="O58" i="15" s="1"/>
  <c r="P83" i="15"/>
  <c r="P70" i="15" s="1"/>
  <c r="T22" i="15"/>
  <c r="T30" i="15"/>
  <c r="S29" i="15"/>
  <c r="M54" i="15"/>
  <c r="L54" i="15"/>
  <c r="N51" i="15"/>
  <c r="O74" i="15"/>
  <c r="O107" i="15" s="1"/>
  <c r="O76" i="15" s="1"/>
  <c r="O111" i="15" s="1"/>
  <c r="O112" i="15" s="1"/>
  <c r="O113" i="15" s="1"/>
  <c r="P87" i="15"/>
  <c r="P72" i="15" s="1"/>
  <c r="P95" i="15"/>
  <c r="Q94" i="15"/>
  <c r="Q64" i="15"/>
  <c r="Q83" i="15" s="1"/>
  <c r="Q70" i="15" s="1"/>
  <c r="Q93" i="15"/>
  <c r="Q65" i="15"/>
  <c r="Q66" i="15" s="1"/>
  <c r="R27" i="15"/>
  <c r="R43" i="15" s="1"/>
  <c r="R65" i="15" s="1"/>
  <c r="P103" i="15"/>
  <c r="P73" i="15" s="1"/>
  <c r="P106" i="15" s="1"/>
  <c r="P75" i="15" s="1"/>
  <c r="P110" i="15" s="1"/>
  <c r="Q86" i="15"/>
  <c r="Q71" i="15" s="1"/>
  <c r="Q82" i="15"/>
  <c r="Q69" i="15" s="1"/>
  <c r="Q92" i="15"/>
  <c r="R91" i="15"/>
  <c r="R63" i="15"/>
  <c r="R90" i="15"/>
  <c r="S42" i="15"/>
  <c r="U19" i="15"/>
  <c r="U21" i="15" s="1"/>
  <c r="N59" i="15" l="1"/>
  <c r="N60" i="15" s="1"/>
  <c r="D9" i="24"/>
  <c r="E9" i="24" s="1"/>
  <c r="G9" i="24" s="1"/>
  <c r="U22" i="15"/>
  <c r="U30" i="15"/>
  <c r="T29" i="15"/>
  <c r="P50" i="15"/>
  <c r="C11" i="24" s="1"/>
  <c r="O51" i="15"/>
  <c r="N53" i="15"/>
  <c r="P104" i="15"/>
  <c r="P74" i="15" s="1"/>
  <c r="P107" i="15" s="1"/>
  <c r="P76" i="15" s="1"/>
  <c r="P111" i="15" s="1"/>
  <c r="P51" i="15" s="1"/>
  <c r="D11" i="24" s="1"/>
  <c r="Q87" i="15"/>
  <c r="Q72" i="15" s="1"/>
  <c r="R93" i="15"/>
  <c r="R64" i="15"/>
  <c r="R87" i="15" s="1"/>
  <c r="R72" i="15" s="1"/>
  <c r="R94" i="15"/>
  <c r="Q95" i="15"/>
  <c r="S27" i="15"/>
  <c r="S43" i="15" s="1"/>
  <c r="R66" i="15"/>
  <c r="T42" i="15"/>
  <c r="Q103" i="15"/>
  <c r="Q73" i="15" s="1"/>
  <c r="Q106" i="15" s="1"/>
  <c r="Q75" i="15" s="1"/>
  <c r="Q110" i="15" s="1"/>
  <c r="Q50" i="15" s="1"/>
  <c r="C12" i="24" s="1"/>
  <c r="R92" i="15"/>
  <c r="R86" i="15"/>
  <c r="R71" i="15" s="1"/>
  <c r="R82" i="15"/>
  <c r="R69" i="15" s="1"/>
  <c r="S91" i="15"/>
  <c r="S63" i="15"/>
  <c r="S90" i="15"/>
  <c r="V19" i="15"/>
  <c r="V21" i="15" s="1"/>
  <c r="O59" i="15" l="1"/>
  <c r="O60" i="15" s="1"/>
  <c r="D10" i="24"/>
  <c r="E10" i="24" s="1"/>
  <c r="P17" i="24" s="1"/>
  <c r="E11" i="24"/>
  <c r="G11" i="24" s="1"/>
  <c r="Q57" i="15"/>
  <c r="Q58" i="15" s="1"/>
  <c r="P59" i="15"/>
  <c r="P60" i="15" s="1"/>
  <c r="P57" i="15"/>
  <c r="P58" i="15" s="1"/>
  <c r="V22" i="15"/>
  <c r="V30" i="15"/>
  <c r="U29" i="15"/>
  <c r="N54" i="15"/>
  <c r="P112" i="15"/>
  <c r="P113" i="15" s="1"/>
  <c r="P53" i="15"/>
  <c r="O53" i="15"/>
  <c r="Q104" i="15"/>
  <c r="Q74" i="15" s="1"/>
  <c r="Q107" i="15" s="1"/>
  <c r="Q76" i="15" s="1"/>
  <c r="Q111" i="15" s="1"/>
  <c r="Q51" i="15" s="1"/>
  <c r="R83" i="15"/>
  <c r="R70" i="15" s="1"/>
  <c r="R95" i="15"/>
  <c r="S94" i="15"/>
  <c r="S65" i="15"/>
  <c r="S66" i="15" s="1"/>
  <c r="S64" i="15"/>
  <c r="S83" i="15" s="1"/>
  <c r="S70" i="15" s="1"/>
  <c r="S93" i="15"/>
  <c r="T27" i="15"/>
  <c r="T43" i="15" s="1"/>
  <c r="T64" i="15" s="1"/>
  <c r="T90" i="15"/>
  <c r="R103" i="15"/>
  <c r="R73" i="15" s="1"/>
  <c r="R106" i="15" s="1"/>
  <c r="R75" i="15" s="1"/>
  <c r="R110" i="15" s="1"/>
  <c r="S92" i="15"/>
  <c r="S86" i="15"/>
  <c r="S71" i="15" s="1"/>
  <c r="S82" i="15"/>
  <c r="S69" i="15" s="1"/>
  <c r="R104" i="15"/>
  <c r="T63" i="15"/>
  <c r="T91" i="15"/>
  <c r="U42" i="15"/>
  <c r="W19" i="15"/>
  <c r="W21" i="15" s="1"/>
  <c r="G10" i="24" l="1"/>
  <c r="P19" i="24"/>
  <c r="P21" i="24"/>
  <c r="Q59" i="15"/>
  <c r="Q60" i="15" s="1"/>
  <c r="D12" i="24"/>
  <c r="E12" i="24" s="1"/>
  <c r="G12" i="24" s="1"/>
  <c r="W22" i="15"/>
  <c r="W30" i="15"/>
  <c r="V29" i="15"/>
  <c r="P54" i="15"/>
  <c r="O54" i="15"/>
  <c r="Q112" i="15"/>
  <c r="Q113" i="15" s="1"/>
  <c r="Q53" i="15"/>
  <c r="R50" i="15"/>
  <c r="R57" i="15" s="1"/>
  <c r="S87" i="15"/>
  <c r="S72" i="15" s="1"/>
  <c r="T65" i="15"/>
  <c r="T66" i="15" s="1"/>
  <c r="R74" i="15"/>
  <c r="R107" i="15" s="1"/>
  <c r="R76" i="15" s="1"/>
  <c r="R111" i="15" s="1"/>
  <c r="R112" i="15" s="1"/>
  <c r="R113" i="15" s="1"/>
  <c r="T94" i="15"/>
  <c r="S95" i="15"/>
  <c r="T93" i="15"/>
  <c r="U27" i="15"/>
  <c r="U43" i="15" s="1"/>
  <c r="U64" i="15" s="1"/>
  <c r="S103" i="15"/>
  <c r="S73" i="15" s="1"/>
  <c r="S106" i="15" s="1"/>
  <c r="S75" i="15" s="1"/>
  <c r="S110" i="15" s="1"/>
  <c r="S50" i="15" s="1"/>
  <c r="S57" i="15" s="1"/>
  <c r="U90" i="15"/>
  <c r="U91" i="15"/>
  <c r="U63" i="15"/>
  <c r="V42" i="15"/>
  <c r="T86" i="15"/>
  <c r="T71" i="15" s="1"/>
  <c r="T92" i="15"/>
  <c r="T82" i="15"/>
  <c r="T69" i="15" s="1"/>
  <c r="T83" i="15"/>
  <c r="T70" i="15" s="1"/>
  <c r="T87" i="15"/>
  <c r="T72" i="15" s="1"/>
  <c r="X19" i="15"/>
  <c r="X21" i="15" s="1"/>
  <c r="X22" i="15" l="1"/>
  <c r="X30" i="15"/>
  <c r="W29" i="15"/>
  <c r="Q54" i="15"/>
  <c r="S58" i="15"/>
  <c r="R58" i="15"/>
  <c r="S104" i="15"/>
  <c r="S74" i="15" s="1"/>
  <c r="S107" i="15" s="1"/>
  <c r="S76" i="15" s="1"/>
  <c r="S111" i="15" s="1"/>
  <c r="S51" i="15" s="1"/>
  <c r="S59" i="15" s="1"/>
  <c r="S60" i="15" s="1"/>
  <c r="R51" i="15"/>
  <c r="R59" i="15" s="1"/>
  <c r="R60" i="15" s="1"/>
  <c r="T95" i="15"/>
  <c r="U93" i="15"/>
  <c r="U65" i="15"/>
  <c r="U66" i="15" s="1"/>
  <c r="U94" i="15"/>
  <c r="V27" i="15"/>
  <c r="V43" i="15" s="1"/>
  <c r="V64" i="15" s="1"/>
  <c r="V90" i="15"/>
  <c r="T103" i="15"/>
  <c r="T73" i="15" s="1"/>
  <c r="T106" i="15" s="1"/>
  <c r="T75" i="15" s="1"/>
  <c r="T110" i="15" s="1"/>
  <c r="V91" i="15"/>
  <c r="V63" i="15"/>
  <c r="U82" i="15"/>
  <c r="U69" i="15" s="1"/>
  <c r="U86" i="15"/>
  <c r="U71" i="15" s="1"/>
  <c r="U92" i="15"/>
  <c r="W42" i="15"/>
  <c r="T104" i="15"/>
  <c r="U83" i="15"/>
  <c r="U70" i="15" s="1"/>
  <c r="U87" i="15"/>
  <c r="U72" i="15" s="1"/>
  <c r="Y19" i="15"/>
  <c r="Y21" i="15" s="1"/>
  <c r="Y22" i="15" l="1"/>
  <c r="Y30" i="15"/>
  <c r="X29" i="15"/>
  <c r="R53" i="15"/>
  <c r="S112" i="15"/>
  <c r="S113" i="15" s="1"/>
  <c r="S53" i="15"/>
  <c r="T50" i="15"/>
  <c r="T57" i="15" s="1"/>
  <c r="T74" i="15"/>
  <c r="T107" i="15" s="1"/>
  <c r="T76" i="15" s="1"/>
  <c r="T111" i="15" s="1"/>
  <c r="T112" i="15" s="1"/>
  <c r="T113" i="15" s="1"/>
  <c r="U95" i="15"/>
  <c r="V65" i="15"/>
  <c r="V66" i="15" s="1"/>
  <c r="V93" i="15"/>
  <c r="V94" i="15"/>
  <c r="W27" i="15"/>
  <c r="W43" i="15" s="1"/>
  <c r="W93" i="15" s="1"/>
  <c r="U103" i="15"/>
  <c r="U73" i="15" s="1"/>
  <c r="U106" i="15" s="1"/>
  <c r="U75" i="15" s="1"/>
  <c r="U110" i="15" s="1"/>
  <c r="W90" i="15"/>
  <c r="U104" i="15"/>
  <c r="V87" i="15"/>
  <c r="V72" i="15" s="1"/>
  <c r="V83" i="15"/>
  <c r="V70" i="15" s="1"/>
  <c r="W91" i="15"/>
  <c r="W63" i="15"/>
  <c r="V86" i="15"/>
  <c r="V71" i="15" s="1"/>
  <c r="V92" i="15"/>
  <c r="V82" i="15"/>
  <c r="V69" i="15" s="1"/>
  <c r="X42" i="15"/>
  <c r="Z19" i="15"/>
  <c r="Z21" i="15" s="1"/>
  <c r="Z22" i="15" l="1"/>
  <c r="Z30" i="15"/>
  <c r="Y29" i="15"/>
  <c r="T58" i="15"/>
  <c r="S54" i="15"/>
  <c r="R54" i="15"/>
  <c r="T51" i="15"/>
  <c r="T59" i="15" s="1"/>
  <c r="T60" i="15" s="1"/>
  <c r="U50" i="15"/>
  <c r="U74" i="15"/>
  <c r="U107" i="15" s="1"/>
  <c r="U76" i="15" s="1"/>
  <c r="U111" i="15" s="1"/>
  <c r="U112" i="15" s="1"/>
  <c r="U113" i="15" s="1"/>
  <c r="W65" i="15"/>
  <c r="W66" i="15" s="1"/>
  <c r="V95" i="15"/>
  <c r="W94" i="15"/>
  <c r="W64" i="15"/>
  <c r="W83" i="15" s="1"/>
  <c r="W70" i="15" s="1"/>
  <c r="X27" i="15"/>
  <c r="X43" i="15" s="1"/>
  <c r="X94" i="15" s="1"/>
  <c r="X90" i="15"/>
  <c r="V104" i="15"/>
  <c r="X91" i="15"/>
  <c r="X63" i="15"/>
  <c r="V103" i="15"/>
  <c r="V73" i="15" s="1"/>
  <c r="V106" i="15" s="1"/>
  <c r="V75" i="15" s="1"/>
  <c r="W92" i="15"/>
  <c r="W82" i="15"/>
  <c r="W69" i="15" s="1"/>
  <c r="W86" i="15"/>
  <c r="W71" i="15" s="1"/>
  <c r="Y42" i="15"/>
  <c r="AA19" i="15"/>
  <c r="AA21" i="15" s="1"/>
  <c r="U57" i="15" l="1"/>
  <c r="U58" i="15" s="1"/>
  <c r="AA22" i="15"/>
  <c r="AA30" i="15"/>
  <c r="Z29" i="15"/>
  <c r="T53" i="15"/>
  <c r="U51" i="15"/>
  <c r="V110" i="15"/>
  <c r="V50" i="15" s="1"/>
  <c r="C13" i="24" s="1"/>
  <c r="V74" i="15"/>
  <c r="V107" i="15" s="1"/>
  <c r="V76" i="15" s="1"/>
  <c r="V111" i="15" s="1"/>
  <c r="W95" i="15"/>
  <c r="W87" i="15"/>
  <c r="W72" i="15" s="1"/>
  <c r="X93" i="15"/>
  <c r="X65" i="15"/>
  <c r="X66" i="15" s="1"/>
  <c r="X64" i="15"/>
  <c r="X87" i="15" s="1"/>
  <c r="X72" i="15" s="1"/>
  <c r="Y27" i="15"/>
  <c r="Y43" i="15" s="1"/>
  <c r="Y94" i="15" s="1"/>
  <c r="W103" i="15"/>
  <c r="W73" i="15" s="1"/>
  <c r="W106" i="15" s="1"/>
  <c r="W75" i="15" s="1"/>
  <c r="W110" i="15" s="1"/>
  <c r="W50" i="15" s="1"/>
  <c r="W57" i="15" s="1"/>
  <c r="X92" i="15"/>
  <c r="X86" i="15"/>
  <c r="X71" i="15" s="1"/>
  <c r="X82" i="15"/>
  <c r="X69" i="15" s="1"/>
  <c r="Z42" i="15"/>
  <c r="Y90" i="15"/>
  <c r="Y91" i="15"/>
  <c r="Y63" i="15"/>
  <c r="AB19" i="15"/>
  <c r="AB21" i="15" s="1"/>
  <c r="V57" i="15" l="1"/>
  <c r="V58" i="15" s="1"/>
  <c r="U59" i="15"/>
  <c r="U60" i="15" s="1"/>
  <c r="AB22" i="15"/>
  <c r="AB30" i="15"/>
  <c r="AA29" i="15"/>
  <c r="W58" i="15"/>
  <c r="T54" i="15"/>
  <c r="U53" i="15"/>
  <c r="V51" i="15"/>
  <c r="V112" i="15"/>
  <c r="V113" i="15" s="1"/>
  <c r="X83" i="15"/>
  <c r="X70" i="15" s="1"/>
  <c r="W104" i="15"/>
  <c r="W74" i="15" s="1"/>
  <c r="W107" i="15" s="1"/>
  <c r="W76" i="15" s="1"/>
  <c r="W111" i="15" s="1"/>
  <c r="X95" i="15"/>
  <c r="Y93" i="15"/>
  <c r="Y65" i="15"/>
  <c r="Y66" i="15" s="1"/>
  <c r="Y64" i="15"/>
  <c r="Z27" i="15"/>
  <c r="Z43" i="15" s="1"/>
  <c r="Z93" i="15" s="1"/>
  <c r="X104" i="15"/>
  <c r="Z90" i="15"/>
  <c r="AA42" i="15"/>
  <c r="Y82" i="15"/>
  <c r="Y69" i="15" s="1"/>
  <c r="Y92" i="15"/>
  <c r="Y86" i="15"/>
  <c r="Y71" i="15" s="1"/>
  <c r="X103" i="15"/>
  <c r="X73" i="15" s="1"/>
  <c r="X106" i="15" s="1"/>
  <c r="X75" i="15" s="1"/>
  <c r="X110" i="15" s="1"/>
  <c r="X50" i="15" s="1"/>
  <c r="X57" i="15" s="1"/>
  <c r="Z91" i="15"/>
  <c r="Z63" i="15"/>
  <c r="AC19" i="15"/>
  <c r="AC21" i="15" s="1"/>
  <c r="V59" i="15" l="1"/>
  <c r="V60" i="15" s="1"/>
  <c r="D13" i="24"/>
  <c r="E13" i="24" s="1"/>
  <c r="G13" i="24" s="1"/>
  <c r="AC22" i="15"/>
  <c r="AC30" i="15"/>
  <c r="AB29" i="15"/>
  <c r="X58" i="15"/>
  <c r="U54" i="15"/>
  <c r="V53" i="15"/>
  <c r="W51" i="15"/>
  <c r="W59" i="15" s="1"/>
  <c r="W60" i="15" s="1"/>
  <c r="W112" i="15"/>
  <c r="W113" i="15" s="1"/>
  <c r="Y95" i="15"/>
  <c r="X74" i="15"/>
  <c r="X107" i="15" s="1"/>
  <c r="X76" i="15" s="1"/>
  <c r="X111" i="15" s="1"/>
  <c r="X112" i="15" s="1"/>
  <c r="X113" i="15" s="1"/>
  <c r="Y87" i="15"/>
  <c r="Y72" i="15" s="1"/>
  <c r="Z65" i="15"/>
  <c r="Z66" i="15" s="1"/>
  <c r="Z94" i="15"/>
  <c r="Y83" i="15"/>
  <c r="Y70" i="15" s="1"/>
  <c r="Z64" i="15"/>
  <c r="AA27" i="15"/>
  <c r="AA43" i="15" s="1"/>
  <c r="AA65" i="15" s="1"/>
  <c r="AA90" i="15"/>
  <c r="AA91" i="15"/>
  <c r="AA63" i="15"/>
  <c r="Y103" i="15"/>
  <c r="Y73" i="15" s="1"/>
  <c r="Y106" i="15" s="1"/>
  <c r="Y75" i="15" s="1"/>
  <c r="Y110" i="15" s="1"/>
  <c r="Y50" i="15" s="1"/>
  <c r="Y57" i="15" s="1"/>
  <c r="AB42" i="15"/>
  <c r="Z82" i="15"/>
  <c r="Z69" i="15" s="1"/>
  <c r="Z92" i="15"/>
  <c r="Z86" i="15"/>
  <c r="Z71" i="15" s="1"/>
  <c r="AD19" i="15"/>
  <c r="AD21" i="15" s="1"/>
  <c r="Z87" i="15" l="1"/>
  <c r="Z72" i="15" s="1"/>
  <c r="AD22" i="15"/>
  <c r="AD30" i="15"/>
  <c r="AC29" i="15"/>
  <c r="Y58" i="15"/>
  <c r="V54" i="15"/>
  <c r="W53" i="15"/>
  <c r="X51" i="15"/>
  <c r="X59" i="15" s="1"/>
  <c r="X60" i="15" s="1"/>
  <c r="Y104" i="15"/>
  <c r="Y74" i="15" s="1"/>
  <c r="Y107" i="15" s="1"/>
  <c r="Y76" i="15" s="1"/>
  <c r="Y111" i="15" s="1"/>
  <c r="Y112" i="15" s="1"/>
  <c r="Y113" i="15" s="1"/>
  <c r="Z83" i="15"/>
  <c r="Z70" i="15" s="1"/>
  <c r="Z95" i="15"/>
  <c r="AA64" i="15"/>
  <c r="AA83" i="15" s="1"/>
  <c r="AA70" i="15" s="1"/>
  <c r="AA94" i="15"/>
  <c r="AA93" i="15"/>
  <c r="AB27" i="15"/>
  <c r="AB43" i="15" s="1"/>
  <c r="AB93" i="15" s="1"/>
  <c r="AB90" i="15"/>
  <c r="Z103" i="15"/>
  <c r="Z73" i="15" s="1"/>
  <c r="Z106" i="15" s="1"/>
  <c r="Z75" i="15" s="1"/>
  <c r="Z110" i="15" s="1"/>
  <c r="AA82" i="15"/>
  <c r="AA69" i="15" s="1"/>
  <c r="AA86" i="15"/>
  <c r="AA71" i="15" s="1"/>
  <c r="AA92" i="15"/>
  <c r="AC42" i="15"/>
  <c r="AB63" i="15"/>
  <c r="AB91" i="15"/>
  <c r="AA66" i="15"/>
  <c r="AE19" i="15"/>
  <c r="AE21" i="15" s="1"/>
  <c r="Z104" i="15" l="1"/>
  <c r="Z74" i="15" s="1"/>
  <c r="Z107" i="15" s="1"/>
  <c r="Z76" i="15" s="1"/>
  <c r="Z111" i="15" s="1"/>
  <c r="Z112" i="15" s="1"/>
  <c r="Z113" i="15" s="1"/>
  <c r="AE22" i="15"/>
  <c r="AE30" i="15"/>
  <c r="AD29" i="15"/>
  <c r="W54" i="15"/>
  <c r="X53" i="15"/>
  <c r="Y51" i="15"/>
  <c r="Y59" i="15" s="1"/>
  <c r="Y60" i="15" s="1"/>
  <c r="Z50" i="15"/>
  <c r="AA95" i="15"/>
  <c r="AA87" i="15"/>
  <c r="AA72" i="15" s="1"/>
  <c r="AB94" i="15"/>
  <c r="AB64" i="15"/>
  <c r="AB83" i="15" s="1"/>
  <c r="AB70" i="15" s="1"/>
  <c r="AB65" i="15"/>
  <c r="AB66" i="15" s="1"/>
  <c r="AC27" i="15"/>
  <c r="AC43" i="15" s="1"/>
  <c r="AC64" i="15" s="1"/>
  <c r="AC90" i="15"/>
  <c r="AB82" i="15"/>
  <c r="AB69" i="15" s="1"/>
  <c r="AB92" i="15"/>
  <c r="AB86" i="15"/>
  <c r="AB71" i="15" s="1"/>
  <c r="AD42" i="15"/>
  <c r="AC91" i="15"/>
  <c r="AC63" i="15"/>
  <c r="AA103" i="15"/>
  <c r="AA73" i="15" s="1"/>
  <c r="AA106" i="15" s="1"/>
  <c r="AA75" i="15" s="1"/>
  <c r="AF19" i="15"/>
  <c r="AF21" i="15" s="1"/>
  <c r="Z57" i="15" l="1"/>
  <c r="Z58" i="15" s="1"/>
  <c r="AF22" i="15"/>
  <c r="AF30" i="15"/>
  <c r="AE29" i="15"/>
  <c r="X54" i="15"/>
  <c r="Y53" i="15"/>
  <c r="Z51" i="15"/>
  <c r="AA110" i="15"/>
  <c r="AA104" i="15"/>
  <c r="AA74" i="15" s="1"/>
  <c r="AA107" i="15" s="1"/>
  <c r="AA76" i="15" s="1"/>
  <c r="AA111" i="15" s="1"/>
  <c r="AA51" i="15" s="1"/>
  <c r="D14" i="24" s="1"/>
  <c r="AB87" i="15"/>
  <c r="AB72" i="15" s="1"/>
  <c r="AC65" i="15"/>
  <c r="AC66" i="15" s="1"/>
  <c r="AC94" i="15"/>
  <c r="AC93" i="15"/>
  <c r="AB95" i="15"/>
  <c r="AD27" i="15"/>
  <c r="AD43" i="15" s="1"/>
  <c r="AD93" i="15" s="1"/>
  <c r="AE42" i="15"/>
  <c r="AC86" i="15"/>
  <c r="AC71" i="15" s="1"/>
  <c r="AC82" i="15"/>
  <c r="AC69" i="15" s="1"/>
  <c r="AC92" i="15"/>
  <c r="AB103" i="15"/>
  <c r="AB73" i="15" s="1"/>
  <c r="AB106" i="15" s="1"/>
  <c r="AB75" i="15" s="1"/>
  <c r="AB110" i="15" s="1"/>
  <c r="AC83" i="15"/>
  <c r="AC70" i="15" s="1"/>
  <c r="AC87" i="15"/>
  <c r="AC72" i="15" s="1"/>
  <c r="AD90" i="15"/>
  <c r="AD63" i="15"/>
  <c r="AD91" i="15"/>
  <c r="AG19" i="15"/>
  <c r="AG21" i="15" s="1"/>
  <c r="AA59" i="15" l="1"/>
  <c r="AA60" i="15" s="1"/>
  <c r="Z59" i="15"/>
  <c r="Z60" i="15" s="1"/>
  <c r="AG22" i="15"/>
  <c r="AG30" i="15"/>
  <c r="AF29" i="15"/>
  <c r="Y54" i="15"/>
  <c r="AA112" i="15"/>
  <c r="AA113" i="15" s="1"/>
  <c r="AB104" i="15"/>
  <c r="AB74" i="15" s="1"/>
  <c r="AB107" i="15" s="1"/>
  <c r="AB76" i="15" s="1"/>
  <c r="AB111" i="15" s="1"/>
  <c r="AB51" i="15" s="1"/>
  <c r="AB59" i="15" s="1"/>
  <c r="AB60" i="15" s="1"/>
  <c r="AA50" i="15"/>
  <c r="C14" i="24" s="1"/>
  <c r="Z53" i="15"/>
  <c r="AB50" i="15"/>
  <c r="AB57" i="15" s="1"/>
  <c r="AC95" i="15"/>
  <c r="AD65" i="15"/>
  <c r="AD66" i="15" s="1"/>
  <c r="AD94" i="15"/>
  <c r="AE27" i="15"/>
  <c r="AE43" i="15" s="1"/>
  <c r="AE94" i="15" s="1"/>
  <c r="AD64" i="15"/>
  <c r="AC104" i="15"/>
  <c r="AC103" i="15"/>
  <c r="AC73" i="15" s="1"/>
  <c r="AC106" i="15" s="1"/>
  <c r="AC75" i="15" s="1"/>
  <c r="AC110" i="15" s="1"/>
  <c r="AC50" i="15" s="1"/>
  <c r="AC57" i="15" s="1"/>
  <c r="AD92" i="15"/>
  <c r="AD82" i="15"/>
  <c r="AD69" i="15" s="1"/>
  <c r="AD86" i="15"/>
  <c r="AD71" i="15" s="1"/>
  <c r="AF42" i="15"/>
  <c r="AE90" i="15"/>
  <c r="AE91" i="15"/>
  <c r="AE63" i="15"/>
  <c r="AH19" i="15"/>
  <c r="AH21" i="15" s="1"/>
  <c r="AA57" i="15" l="1"/>
  <c r="AA58" i="15" s="1"/>
  <c r="E14" i="24"/>
  <c r="G14" i="24" s="1"/>
  <c r="AH22" i="15"/>
  <c r="AH30" i="15"/>
  <c r="AG29" i="15"/>
  <c r="AB58" i="15"/>
  <c r="AC58" i="15"/>
  <c r="Z54" i="15"/>
  <c r="AA53" i="15"/>
  <c r="AB112" i="15"/>
  <c r="AB113" i="15" s="1"/>
  <c r="AB53" i="15"/>
  <c r="AC74" i="15"/>
  <c r="AC107" i="15" s="1"/>
  <c r="AC76" i="15" s="1"/>
  <c r="AC111" i="15" s="1"/>
  <c r="AC51" i="15" s="1"/>
  <c r="AC59" i="15" s="1"/>
  <c r="AC60" i="15" s="1"/>
  <c r="AE65" i="15"/>
  <c r="AE66" i="15" s="1"/>
  <c r="AE64" i="15"/>
  <c r="AE93" i="15"/>
  <c r="AD95" i="15"/>
  <c r="AD83" i="15"/>
  <c r="AD70" i="15" s="1"/>
  <c r="AD87" i="15"/>
  <c r="AD72" i="15" s="1"/>
  <c r="AF27" i="15"/>
  <c r="AF43" i="15" s="1"/>
  <c r="AF65" i="15" s="1"/>
  <c r="AD103" i="15"/>
  <c r="AD73" i="15" s="1"/>
  <c r="AD106" i="15" s="1"/>
  <c r="AD75" i="15" s="1"/>
  <c r="AD110" i="15" s="1"/>
  <c r="AF91" i="15"/>
  <c r="AF63" i="15"/>
  <c r="AG42" i="15"/>
  <c r="AE86" i="15"/>
  <c r="AE71" i="15" s="1"/>
  <c r="AE92" i="15"/>
  <c r="AE82" i="15"/>
  <c r="AE69" i="15" s="1"/>
  <c r="AF90" i="15"/>
  <c r="AI19" i="15"/>
  <c r="AI21" i="15" s="1"/>
  <c r="AE83" i="15" l="1"/>
  <c r="AE70" i="15" s="1"/>
  <c r="AI22" i="15"/>
  <c r="AI30" i="15"/>
  <c r="AH29" i="15"/>
  <c r="AB54" i="15"/>
  <c r="AA54" i="15"/>
  <c r="AC112" i="15"/>
  <c r="AC113" i="15" s="1"/>
  <c r="AC53" i="15"/>
  <c r="AD50" i="15"/>
  <c r="AD57" i="15" s="1"/>
  <c r="AE95" i="15"/>
  <c r="AE87" i="15"/>
  <c r="AE72" i="15" s="1"/>
  <c r="AF93" i="15"/>
  <c r="AF64" i="15"/>
  <c r="AF87" i="15" s="1"/>
  <c r="AF72" i="15" s="1"/>
  <c r="AF94" i="15"/>
  <c r="AD104" i="15"/>
  <c r="AD74" i="15" s="1"/>
  <c r="AD107" i="15" s="1"/>
  <c r="AD76" i="15" s="1"/>
  <c r="AG27" i="15"/>
  <c r="AG43" i="15" s="1"/>
  <c r="AG90" i="15"/>
  <c r="AE103" i="15"/>
  <c r="AE73" i="15" s="1"/>
  <c r="AE106" i="15" s="1"/>
  <c r="AE75" i="15" s="1"/>
  <c r="AE110" i="15" s="1"/>
  <c r="AE50" i="15" s="1"/>
  <c r="AF66" i="15"/>
  <c r="AH42" i="15"/>
  <c r="AG91" i="15"/>
  <c r="AG63" i="15"/>
  <c r="AF92" i="15"/>
  <c r="AF86" i="15"/>
  <c r="AF71" i="15" s="1"/>
  <c r="AF82" i="15"/>
  <c r="AF69" i="15" s="1"/>
  <c r="AJ19" i="15"/>
  <c r="AJ21" i="15" s="1"/>
  <c r="AE57" i="15" l="1"/>
  <c r="AE58" i="15" s="1"/>
  <c r="AJ22" i="15"/>
  <c r="AJ30" i="15"/>
  <c r="AI29" i="15"/>
  <c r="AD58" i="15"/>
  <c r="AC54" i="15"/>
  <c r="AD111" i="15"/>
  <c r="AD112" i="15" s="1"/>
  <c r="AD113" i="15" s="1"/>
  <c r="AE104" i="15"/>
  <c r="AE74" i="15" s="1"/>
  <c r="AE107" i="15" s="1"/>
  <c r="AE76" i="15" s="1"/>
  <c r="AE111" i="15" s="1"/>
  <c r="AE112" i="15" s="1"/>
  <c r="AE113" i="15" s="1"/>
  <c r="AF95" i="15"/>
  <c r="AF83" i="15"/>
  <c r="AF70" i="15" s="1"/>
  <c r="AG65" i="15"/>
  <c r="AG66" i="15" s="1"/>
  <c r="AG64" i="15"/>
  <c r="AG83" i="15" s="1"/>
  <c r="AG70" i="15" s="1"/>
  <c r="AG93" i="15"/>
  <c r="AG94" i="15"/>
  <c r="AH27" i="15"/>
  <c r="AH43" i="15" s="1"/>
  <c r="AF104" i="15"/>
  <c r="AH90" i="15"/>
  <c r="AF103" i="15"/>
  <c r="AF73" i="15" s="1"/>
  <c r="AF106" i="15" s="1"/>
  <c r="AF75" i="15" s="1"/>
  <c r="AF110" i="15" s="1"/>
  <c r="AF50" i="15" s="1"/>
  <c r="C15" i="24" s="1"/>
  <c r="AG86" i="15"/>
  <c r="AG71" i="15" s="1"/>
  <c r="AG82" i="15"/>
  <c r="AG69" i="15" s="1"/>
  <c r="AG92" i="15"/>
  <c r="AH91" i="15"/>
  <c r="AH63" i="15"/>
  <c r="AI42" i="15"/>
  <c r="AK19" i="15"/>
  <c r="AK21" i="15" s="1"/>
  <c r="AF57" i="15" l="1"/>
  <c r="AF58" i="15" s="1"/>
  <c r="AK22" i="15"/>
  <c r="AK30" i="15"/>
  <c r="AJ29" i="15"/>
  <c r="AE51" i="15"/>
  <c r="AD51" i="15"/>
  <c r="AD59" i="15" s="1"/>
  <c r="AD60" i="15" s="1"/>
  <c r="AF74" i="15"/>
  <c r="AF107" i="15" s="1"/>
  <c r="AF76" i="15" s="1"/>
  <c r="AF111" i="15" s="1"/>
  <c r="AF112" i="15" s="1"/>
  <c r="AF113" i="15" s="1"/>
  <c r="AL19" i="15"/>
  <c r="AL21" i="15" s="1"/>
  <c r="AG87" i="15"/>
  <c r="AG72" i="15" s="1"/>
  <c r="AG95" i="15"/>
  <c r="AH93" i="15"/>
  <c r="AH94" i="15"/>
  <c r="AI27" i="15"/>
  <c r="AI43" i="15" s="1"/>
  <c r="AI65" i="15" s="1"/>
  <c r="AH64" i="15"/>
  <c r="AH83" i="15" s="1"/>
  <c r="AH70" i="15" s="1"/>
  <c r="AH65" i="15"/>
  <c r="AH66" i="15" s="1"/>
  <c r="AI90" i="15"/>
  <c r="AJ42" i="15"/>
  <c r="AI91" i="15"/>
  <c r="AI63" i="15"/>
  <c r="AH82" i="15"/>
  <c r="AH69" i="15" s="1"/>
  <c r="AH86" i="15"/>
  <c r="AH71" i="15" s="1"/>
  <c r="AH92" i="15"/>
  <c r="AG103" i="15"/>
  <c r="AG73" i="15" s="1"/>
  <c r="AG106" i="15" s="1"/>
  <c r="AG75" i="15" s="1"/>
  <c r="AG110" i="15" s="1"/>
  <c r="AG50" i="15" s="1"/>
  <c r="AG57" i="15" s="1"/>
  <c r="AE59" i="15" l="1"/>
  <c r="AE60" i="15" s="1"/>
  <c r="AL22" i="15"/>
  <c r="AL30" i="15"/>
  <c r="AK29" i="15"/>
  <c r="AG58" i="15"/>
  <c r="AE53" i="15"/>
  <c r="AD53" i="15"/>
  <c r="AF51" i="15"/>
  <c r="D15" i="24" s="1"/>
  <c r="AG104" i="15"/>
  <c r="AG74" i="15" s="1"/>
  <c r="AG107" i="15" s="1"/>
  <c r="AG76" i="15" s="1"/>
  <c r="AG111" i="15" s="1"/>
  <c r="AG51" i="15" s="1"/>
  <c r="AG59" i="15" s="1"/>
  <c r="AG60" i="15" s="1"/>
  <c r="AI93" i="15"/>
  <c r="AH95" i="15"/>
  <c r="AJ27" i="15"/>
  <c r="AJ43" i="15" s="1"/>
  <c r="AI94" i="15"/>
  <c r="AH87" i="15"/>
  <c r="AH72" i="15" s="1"/>
  <c r="AI64" i="15"/>
  <c r="AI87" i="15" s="1"/>
  <c r="AI72" i="15" s="1"/>
  <c r="AJ90" i="15"/>
  <c r="AI92" i="15"/>
  <c r="AH103" i="15"/>
  <c r="AH73" i="15" s="1"/>
  <c r="AH106" i="15" s="1"/>
  <c r="AH75" i="15" s="1"/>
  <c r="AI82" i="15"/>
  <c r="AI69" i="15" s="1"/>
  <c r="AI86" i="15"/>
  <c r="AI71" i="15" s="1"/>
  <c r="AI66" i="15"/>
  <c r="AJ63" i="15"/>
  <c r="AJ91" i="15"/>
  <c r="AK42" i="15"/>
  <c r="AF59" i="15" l="1"/>
  <c r="AF60" i="15" s="1"/>
  <c r="E15" i="24"/>
  <c r="G15" i="24" s="1"/>
  <c r="AL29" i="15"/>
  <c r="AD54" i="15"/>
  <c r="AE54" i="15"/>
  <c r="AL42" i="15"/>
  <c r="AL63" i="15" s="1"/>
  <c r="AL27" i="15"/>
  <c r="AL43" i="15" s="1"/>
  <c r="AL64" i="15" s="1"/>
  <c r="AG112" i="15"/>
  <c r="AG113" i="15" s="1"/>
  <c r="AG53" i="15"/>
  <c r="AF53" i="15"/>
  <c r="AH110" i="15"/>
  <c r="AH104" i="15"/>
  <c r="AH74" i="15" s="1"/>
  <c r="AH107" i="15" s="1"/>
  <c r="AH76" i="15" s="1"/>
  <c r="AH111" i="15" s="1"/>
  <c r="AH51" i="15" s="1"/>
  <c r="AH59" i="15" s="1"/>
  <c r="AH60" i="15" s="1"/>
  <c r="AJ64" i="15"/>
  <c r="AJ65" i="15"/>
  <c r="AJ66" i="15" s="1"/>
  <c r="AI83" i="15"/>
  <c r="AI70" i="15" s="1"/>
  <c r="AI95" i="15"/>
  <c r="AK27" i="15"/>
  <c r="AK43" i="15" s="1"/>
  <c r="AJ93" i="15"/>
  <c r="AJ94" i="15"/>
  <c r="AI104" i="15"/>
  <c r="AI103" i="15"/>
  <c r="AI73" i="15" s="1"/>
  <c r="AI106" i="15" s="1"/>
  <c r="AI75" i="15" s="1"/>
  <c r="AI110" i="15" s="1"/>
  <c r="AI50" i="15" s="1"/>
  <c r="AI57" i="15" s="1"/>
  <c r="AK90" i="15"/>
  <c r="AJ82" i="15"/>
  <c r="AJ69" i="15" s="1"/>
  <c r="AJ92" i="15"/>
  <c r="AJ86" i="15"/>
  <c r="AJ71" i="15" s="1"/>
  <c r="AK91" i="15"/>
  <c r="AK63" i="15"/>
  <c r="AJ83" i="15" l="1"/>
  <c r="AJ70" i="15" s="1"/>
  <c r="AG54" i="15"/>
  <c r="AI58" i="15"/>
  <c r="AF54" i="15"/>
  <c r="AL90" i="15"/>
  <c r="AL91" i="15"/>
  <c r="AJ87" i="15"/>
  <c r="AJ72" i="15" s="1"/>
  <c r="AH112" i="15"/>
  <c r="AH113" i="15" s="1"/>
  <c r="AH50" i="15"/>
  <c r="AH57" i="15" s="1"/>
  <c r="AK65" i="15"/>
  <c r="AK66" i="15" s="1"/>
  <c r="AK94" i="15"/>
  <c r="AK64" i="15"/>
  <c r="AK83" i="15" s="1"/>
  <c r="AK70" i="15" s="1"/>
  <c r="AK93" i="15"/>
  <c r="AI74" i="15"/>
  <c r="AI107" i="15" s="1"/>
  <c r="AI76" i="15" s="1"/>
  <c r="AI111" i="15" s="1"/>
  <c r="AI112" i="15" s="1"/>
  <c r="AI113" i="15" s="1"/>
  <c r="AL65" i="15"/>
  <c r="AL66" i="15" s="1"/>
  <c r="AL93" i="15"/>
  <c r="AL94" i="15"/>
  <c r="AJ95" i="15"/>
  <c r="AL83" i="15"/>
  <c r="AL70" i="15" s="1"/>
  <c r="AL87" i="15"/>
  <c r="AL72" i="15" s="1"/>
  <c r="AK92" i="15"/>
  <c r="AK86" i="15"/>
  <c r="AK71" i="15" s="1"/>
  <c r="AK82" i="15"/>
  <c r="AK69" i="15" s="1"/>
  <c r="AL82" i="15"/>
  <c r="AL69" i="15" s="1"/>
  <c r="AL86" i="15"/>
  <c r="AL71" i="15" s="1"/>
  <c r="AJ103" i="15"/>
  <c r="AJ73" i="15" s="1"/>
  <c r="AJ106" i="15" s="1"/>
  <c r="AJ75" i="15" s="1"/>
  <c r="AH53" i="15" l="1"/>
  <c r="AH58" i="15"/>
  <c r="AL92" i="15"/>
  <c r="AJ104" i="15"/>
  <c r="AJ74" i="15" s="1"/>
  <c r="AJ107" i="15" s="1"/>
  <c r="AJ76" i="15" s="1"/>
  <c r="AJ111" i="15" s="1"/>
  <c r="AI51" i="15"/>
  <c r="AI59" i="15" s="1"/>
  <c r="AI60" i="15" s="1"/>
  <c r="AJ110" i="15"/>
  <c r="AK95" i="15"/>
  <c r="AK87" i="15"/>
  <c r="AK72" i="15" s="1"/>
  <c r="AL95" i="15"/>
  <c r="AL104" i="15"/>
  <c r="AL103" i="15"/>
  <c r="AK103" i="15"/>
  <c r="AK73" i="15" s="1"/>
  <c r="AK106" i="15" s="1"/>
  <c r="AK75" i="15" s="1"/>
  <c r="AK110" i="15" s="1"/>
  <c r="AK50" i="15" s="1"/>
  <c r="C16" i="24" s="1"/>
  <c r="AK57" i="15" l="1"/>
  <c r="AK58" i="15" s="1"/>
  <c r="AH54" i="15"/>
  <c r="AL73" i="15"/>
  <c r="AL106" i="15" s="1"/>
  <c r="AL75" i="15" s="1"/>
  <c r="AL110" i="15" s="1"/>
  <c r="AL50" i="15" s="1"/>
  <c r="AL57" i="15" s="1"/>
  <c r="AI53" i="15"/>
  <c r="AJ51" i="15"/>
  <c r="AJ112" i="15"/>
  <c r="AJ113" i="15" s="1"/>
  <c r="AJ50" i="15"/>
  <c r="AL74" i="15"/>
  <c r="AL107" i="15" s="1"/>
  <c r="AL76" i="15" s="1"/>
  <c r="AL111" i="15" s="1"/>
  <c r="AK104" i="15"/>
  <c r="AK74" i="15" s="1"/>
  <c r="AK107" i="15" s="1"/>
  <c r="AK76" i="15" s="1"/>
  <c r="AK111" i="15" s="1"/>
  <c r="AK51" i="15" s="1"/>
  <c r="AK59" i="15" l="1"/>
  <c r="AK60" i="15" s="1"/>
  <c r="D16" i="24"/>
  <c r="AJ59" i="15"/>
  <c r="AJ60" i="15" s="1"/>
  <c r="AJ57" i="15"/>
  <c r="AJ58" i="15" s="1"/>
  <c r="AL58" i="15"/>
  <c r="AI54" i="15"/>
  <c r="AL112" i="15"/>
  <c r="AL113" i="15" s="1"/>
  <c r="AJ53" i="15"/>
  <c r="AK112" i="15"/>
  <c r="AK113" i="15" s="1"/>
  <c r="AK53" i="15"/>
  <c r="AL51" i="15"/>
  <c r="AL59" i="15" s="1"/>
  <c r="AL60" i="15" s="1"/>
  <c r="E16" i="24" l="1"/>
  <c r="G16" i="24" s="1"/>
  <c r="AK54" i="15"/>
  <c r="AJ54" i="15"/>
  <c r="AL53" i="15"/>
  <c r="AL54" i="15" l="1"/>
  <c r="E21" i="15"/>
  <c r="E30" i="15" s="1"/>
  <c r="G19" i="15"/>
  <c r="G21" i="15" l="1"/>
  <c r="G29" i="15" s="1"/>
  <c r="G117" i="15" s="1"/>
  <c r="E29" i="15"/>
  <c r="E26" i="15"/>
  <c r="G26" i="15" s="1"/>
  <c r="G42" i="15" s="1"/>
  <c r="E22" i="15"/>
  <c r="G30" i="15" l="1"/>
  <c r="G119" i="15" s="1"/>
  <c r="G120" i="15" s="1"/>
  <c r="E27" i="15"/>
  <c r="G22" i="15"/>
  <c r="G27" i="15" s="1"/>
  <c r="G43" i="15" s="1"/>
  <c r="G91" i="15"/>
  <c r="G63" i="15"/>
  <c r="G90" i="15"/>
  <c r="G118" i="15" l="1"/>
  <c r="G93" i="15"/>
  <c r="G82" i="15"/>
  <c r="G69" i="15" s="1"/>
  <c r="G86" i="15"/>
  <c r="G71" i="15" s="1"/>
  <c r="G92" i="15"/>
  <c r="G64" i="15"/>
  <c r="G65" i="15"/>
  <c r="G66" i="15" s="1"/>
  <c r="G94" i="15"/>
  <c r="G83" i="15" l="1"/>
  <c r="G70" i="15" s="1"/>
  <c r="G95" i="15"/>
  <c r="G87" i="15"/>
  <c r="G72" i="15" s="1"/>
  <c r="G103" i="15"/>
  <c r="G73" i="15" s="1"/>
  <c r="G106" i="15" s="1"/>
  <c r="G75" i="15" l="1"/>
  <c r="G110" i="15" s="1"/>
  <c r="G50" i="15" s="1"/>
  <c r="G57" i="15" s="1"/>
  <c r="G58" i="15" s="1"/>
  <c r="G104" i="15"/>
  <c r="G74" i="15" s="1"/>
  <c r="G107" i="15" s="1"/>
  <c r="G76" i="15" s="1"/>
  <c r="G111" i="15" s="1"/>
  <c r="G112" i="15" l="1"/>
  <c r="G113" i="15" s="1"/>
  <c r="G51" i="15"/>
  <c r="G53" i="15" l="1"/>
  <c r="G54" i="15" s="1"/>
  <c r="G59" i="15"/>
  <c r="G60" i="15" s="1"/>
  <c r="I13" i="19" l="1"/>
  <c r="I15" i="19" l="1"/>
  <c r="J50" i="25"/>
  <c r="J82" i="25" l="1"/>
  <c r="J92" i="25"/>
  <c r="J99" i="25"/>
  <c r="J101" i="25" s="1"/>
  <c r="J78" i="25" s="1"/>
  <c r="J64" i="25"/>
  <c r="J86" i="25"/>
  <c r="J95" i="25"/>
  <c r="J65" i="25"/>
  <c r="J66" i="25"/>
  <c r="I17" i="19"/>
  <c r="K50" i="25"/>
  <c r="J67" i="25" l="1"/>
  <c r="J94" i="25"/>
  <c r="J96" i="25" s="1"/>
  <c r="J91" i="25"/>
  <c r="J93" i="25" s="1"/>
  <c r="J83" i="25"/>
  <c r="J70" i="25" s="1"/>
  <c r="J87" i="25"/>
  <c r="J72" i="25" s="1"/>
  <c r="J84" i="25"/>
  <c r="J71" i="25" s="1"/>
  <c r="J88" i="25"/>
  <c r="J73" i="25" s="1"/>
  <c r="K65" i="25"/>
  <c r="K82" i="25"/>
  <c r="K99" i="25"/>
  <c r="K101" i="25" s="1"/>
  <c r="K78" i="25" s="1"/>
  <c r="K86" i="25"/>
  <c r="K95" i="25"/>
  <c r="K64" i="25"/>
  <c r="K92" i="25"/>
  <c r="K66" i="25"/>
  <c r="I19" i="19"/>
  <c r="L50" i="25"/>
  <c r="K91" i="25" l="1"/>
  <c r="K93" i="25" s="1"/>
  <c r="K94" i="25"/>
  <c r="K96" i="25" s="1"/>
  <c r="J104" i="25"/>
  <c r="J74" i="25" s="1"/>
  <c r="J107" i="25" s="1"/>
  <c r="J76" i="25" s="1"/>
  <c r="J111" i="25" s="1"/>
  <c r="J51" i="25" s="1"/>
  <c r="J59" i="25" s="1"/>
  <c r="K83" i="25"/>
  <c r="K70" i="25" s="1"/>
  <c r="K87" i="25"/>
  <c r="L86" i="25"/>
  <c r="L99" i="25"/>
  <c r="L101" i="25" s="1"/>
  <c r="L78" i="25" s="1"/>
  <c r="L95" i="25"/>
  <c r="L82" i="25"/>
  <c r="L66" i="25"/>
  <c r="L65" i="25"/>
  <c r="L64" i="25"/>
  <c r="L92" i="25"/>
  <c r="I21" i="19"/>
  <c r="M50" i="25"/>
  <c r="K88" i="25"/>
  <c r="K73" i="25" s="1"/>
  <c r="K84" i="25"/>
  <c r="K71" i="25" s="1"/>
  <c r="K67" i="25"/>
  <c r="J105" i="25"/>
  <c r="J75" i="25" s="1"/>
  <c r="J108" i="25" s="1"/>
  <c r="J77" i="25" s="1"/>
  <c r="K105" i="25" l="1"/>
  <c r="K75" i="25" s="1"/>
  <c r="K108" i="25" s="1"/>
  <c r="K77" i="25" s="1"/>
  <c r="L67" i="25"/>
  <c r="J112" i="25"/>
  <c r="J113" i="25" s="1"/>
  <c r="J114" i="25" s="1"/>
  <c r="L87" i="25"/>
  <c r="L72" i="25" s="1"/>
  <c r="L83" i="25"/>
  <c r="L70" i="25" s="1"/>
  <c r="L84" i="25"/>
  <c r="L71" i="25" s="1"/>
  <c r="L88" i="25"/>
  <c r="L73" i="25" s="1"/>
  <c r="K104" i="25"/>
  <c r="K74" i="25" s="1"/>
  <c r="K72" i="25"/>
  <c r="I23" i="19"/>
  <c r="N50" i="25"/>
  <c r="L94" i="25"/>
  <c r="L96" i="25" s="1"/>
  <c r="L91" i="25"/>
  <c r="L93" i="25" s="1"/>
  <c r="M64" i="25"/>
  <c r="M92" i="25"/>
  <c r="M99" i="25"/>
  <c r="M101" i="25" s="1"/>
  <c r="M78" i="25" s="1"/>
  <c r="M82" i="25"/>
  <c r="M86" i="25"/>
  <c r="M65" i="25"/>
  <c r="M66" i="25"/>
  <c r="M95" i="25"/>
  <c r="K107" i="25" l="1"/>
  <c r="K76" i="25" s="1"/>
  <c r="K111" i="25" s="1"/>
  <c r="K51" i="25" s="1"/>
  <c r="K59" i="25" s="1"/>
  <c r="L104" i="25"/>
  <c r="L74" i="25" s="1"/>
  <c r="L107" i="25" s="1"/>
  <c r="L76" i="25" s="1"/>
  <c r="L111" i="25" s="1"/>
  <c r="L51" i="25" s="1"/>
  <c r="L58" i="25" s="1"/>
  <c r="L59" i="25" s="1"/>
  <c r="M67" i="25"/>
  <c r="J52" i="25"/>
  <c r="J54" i="25" s="1"/>
  <c r="J55" i="25" s="1"/>
  <c r="K112" i="25"/>
  <c r="M91" i="25"/>
  <c r="M93" i="25" s="1"/>
  <c r="M94" i="25"/>
  <c r="M96" i="25" s="1"/>
  <c r="M84" i="25"/>
  <c r="M71" i="25" s="1"/>
  <c r="M88" i="25"/>
  <c r="M73" i="25" s="1"/>
  <c r="I25" i="19"/>
  <c r="O50" i="25"/>
  <c r="N86" i="25"/>
  <c r="N99" i="25"/>
  <c r="N101" i="25" s="1"/>
  <c r="N78" i="25" s="1"/>
  <c r="N92" i="25"/>
  <c r="N64" i="25"/>
  <c r="N82" i="25"/>
  <c r="N66" i="25"/>
  <c r="N65" i="25"/>
  <c r="N95" i="25"/>
  <c r="M87" i="25"/>
  <c r="M72" i="25" s="1"/>
  <c r="M83" i="25"/>
  <c r="M70" i="25" s="1"/>
  <c r="L105" i="25"/>
  <c r="L75" i="25" s="1"/>
  <c r="L108" i="25" s="1"/>
  <c r="L77" i="25" s="1"/>
  <c r="L112" i="25" s="1"/>
  <c r="M104" i="25" l="1"/>
  <c r="M74" i="25" s="1"/>
  <c r="M107" i="25" s="1"/>
  <c r="M76" i="25" s="1"/>
  <c r="M111" i="25" s="1"/>
  <c r="M51" i="25" s="1"/>
  <c r="I8" i="24" s="1"/>
  <c r="K113" i="25"/>
  <c r="K114" i="25" s="1"/>
  <c r="N67" i="25"/>
  <c r="M105" i="25"/>
  <c r="M75" i="25" s="1"/>
  <c r="M108" i="25" s="1"/>
  <c r="M77" i="25" s="1"/>
  <c r="M112" i="25" s="1"/>
  <c r="K52" i="25"/>
  <c r="K54" i="25" s="1"/>
  <c r="K55" i="25" s="1"/>
  <c r="N87" i="25"/>
  <c r="N72" i="25" s="1"/>
  <c r="N83" i="25"/>
  <c r="N70" i="25" s="1"/>
  <c r="L52" i="25"/>
  <c r="L113" i="25"/>
  <c r="L114" i="25" s="1"/>
  <c r="N91" i="25"/>
  <c r="N93" i="25" s="1"/>
  <c r="N94" i="25"/>
  <c r="N96" i="25" s="1"/>
  <c r="O99" i="25"/>
  <c r="O101" i="25" s="1"/>
  <c r="O78" i="25" s="1"/>
  <c r="O82" i="25"/>
  <c r="O86" i="25"/>
  <c r="O92" i="25"/>
  <c r="O64" i="25"/>
  <c r="O95" i="25"/>
  <c r="O65" i="25"/>
  <c r="O66" i="25"/>
  <c r="N84" i="25"/>
  <c r="N71" i="25" s="1"/>
  <c r="N88" i="25"/>
  <c r="N73" i="25" s="1"/>
  <c r="I27" i="19"/>
  <c r="P50" i="25"/>
  <c r="M113" i="25" l="1"/>
  <c r="M114" i="25" s="1"/>
  <c r="N104" i="25"/>
  <c r="N74" i="25" s="1"/>
  <c r="N107" i="25" s="1"/>
  <c r="N76" i="25" s="1"/>
  <c r="N111" i="25" s="1"/>
  <c r="N51" i="25" s="1"/>
  <c r="M58" i="25"/>
  <c r="M59" i="25" s="1"/>
  <c r="M52" i="25"/>
  <c r="M54" i="25" s="1"/>
  <c r="M55" i="25" s="1"/>
  <c r="N105" i="25"/>
  <c r="N75" i="25" s="1"/>
  <c r="N108" i="25" s="1"/>
  <c r="N77" i="25" s="1"/>
  <c r="N112" i="25" s="1"/>
  <c r="I29" i="19"/>
  <c r="Q50" i="25"/>
  <c r="O84" i="25"/>
  <c r="O71" i="25" s="1"/>
  <c r="O88" i="25"/>
  <c r="O73" i="25" s="1"/>
  <c r="L54" i="25"/>
  <c r="L55" i="25" s="1"/>
  <c r="L60" i="25"/>
  <c r="L61" i="25" s="1"/>
  <c r="O91" i="25"/>
  <c r="O93" i="25" s="1"/>
  <c r="O94" i="25"/>
  <c r="O96" i="25" s="1"/>
  <c r="O83" i="25"/>
  <c r="O70" i="25" s="1"/>
  <c r="O87" i="25"/>
  <c r="O72" i="25" s="1"/>
  <c r="P99" i="25"/>
  <c r="P101" i="25" s="1"/>
  <c r="P78" i="25" s="1"/>
  <c r="P86" i="25"/>
  <c r="P82" i="25"/>
  <c r="P64" i="25"/>
  <c r="P92" i="25"/>
  <c r="P66" i="25"/>
  <c r="P65" i="25"/>
  <c r="P95" i="25"/>
  <c r="O67" i="25"/>
  <c r="J8" i="24" l="1"/>
  <c r="K8" i="24" s="1"/>
  <c r="M8" i="24" s="1"/>
  <c r="I9" i="24"/>
  <c r="N58" i="25"/>
  <c r="N59" i="25" s="1"/>
  <c r="N113" i="25"/>
  <c r="N114" i="25" s="1"/>
  <c r="M60" i="25"/>
  <c r="M61" i="25" s="1"/>
  <c r="N52" i="25"/>
  <c r="N54" i="25" s="1"/>
  <c r="N55" i="25" s="1"/>
  <c r="O105" i="25"/>
  <c r="O75" i="25" s="1"/>
  <c r="O108" i="25" s="1"/>
  <c r="O77" i="25" s="1"/>
  <c r="O104" i="25"/>
  <c r="O74" i="25" s="1"/>
  <c r="O107" i="25" s="1"/>
  <c r="O76" i="25" s="1"/>
  <c r="O111" i="25" s="1"/>
  <c r="O51" i="25" s="1"/>
  <c r="P87" i="25"/>
  <c r="P72" i="25" s="1"/>
  <c r="P83" i="25"/>
  <c r="P70" i="25" s="1"/>
  <c r="P91" i="25"/>
  <c r="P93" i="25" s="1"/>
  <c r="P94" i="25"/>
  <c r="P96" i="25" s="1"/>
  <c r="P67" i="25"/>
  <c r="Q86" i="25"/>
  <c r="Q82" i="25"/>
  <c r="Q99" i="25"/>
  <c r="Q101" i="25" s="1"/>
  <c r="Q78" i="25" s="1"/>
  <c r="Q64" i="25"/>
  <c r="Q92" i="25"/>
  <c r="Q66" i="25"/>
  <c r="Q65" i="25"/>
  <c r="Q95" i="25"/>
  <c r="P84" i="25"/>
  <c r="P71" i="25" s="1"/>
  <c r="P88" i="25"/>
  <c r="P73" i="25" s="1"/>
  <c r="I31" i="19"/>
  <c r="R50" i="25"/>
  <c r="J9" i="24" l="1"/>
  <c r="K9" i="24" s="1"/>
  <c r="M9" i="24" s="1"/>
  <c r="O58" i="25"/>
  <c r="O59" i="25" s="1"/>
  <c r="I10" i="24"/>
  <c r="N60" i="25"/>
  <c r="N61" i="25" s="1"/>
  <c r="P104" i="25"/>
  <c r="P74" i="25" s="1"/>
  <c r="P107" i="25" s="1"/>
  <c r="P76" i="25" s="1"/>
  <c r="P111" i="25" s="1"/>
  <c r="P51" i="25" s="1"/>
  <c r="Q67" i="25"/>
  <c r="P105" i="25"/>
  <c r="P75" i="25" s="1"/>
  <c r="P108" i="25" s="1"/>
  <c r="P77" i="25" s="1"/>
  <c r="Q91" i="25"/>
  <c r="Q93" i="25" s="1"/>
  <c r="Q94" i="25"/>
  <c r="Q96" i="25" s="1"/>
  <c r="R86" i="25"/>
  <c r="R99" i="25"/>
  <c r="R101" i="25" s="1"/>
  <c r="R78" i="25" s="1"/>
  <c r="R82" i="25"/>
  <c r="R64" i="25"/>
  <c r="R92" i="25"/>
  <c r="R95" i="25"/>
  <c r="R66" i="25"/>
  <c r="R65" i="25"/>
  <c r="O112" i="25"/>
  <c r="O113" i="25" s="1"/>
  <c r="O114" i="25" s="1"/>
  <c r="I33" i="19"/>
  <c r="S50" i="25"/>
  <c r="Q84" i="25"/>
  <c r="Q71" i="25" s="1"/>
  <c r="Q88" i="25"/>
  <c r="Q73" i="25" s="1"/>
  <c r="Q83" i="25"/>
  <c r="Q70" i="25" s="1"/>
  <c r="Q87" i="25"/>
  <c r="Q72" i="25" s="1"/>
  <c r="O52" i="25" l="1"/>
  <c r="O60" i="25" s="1"/>
  <c r="O61" i="25" s="1"/>
  <c r="Q105" i="25"/>
  <c r="Q75" i="25" s="1"/>
  <c r="Q108" i="25" s="1"/>
  <c r="Q77" i="25" s="1"/>
  <c r="Q104" i="25"/>
  <c r="Q74" i="25" s="1"/>
  <c r="Q107" i="25" s="1"/>
  <c r="Q76" i="25" s="1"/>
  <c r="Q111" i="25" s="1"/>
  <c r="Q51" i="25" s="1"/>
  <c r="Q58" i="25" s="1"/>
  <c r="Q59" i="25" s="1"/>
  <c r="S82" i="25"/>
  <c r="S86" i="25"/>
  <c r="S99" i="25"/>
  <c r="S101" i="25" s="1"/>
  <c r="S78" i="25" s="1"/>
  <c r="S92" i="25"/>
  <c r="S64" i="25"/>
  <c r="S95" i="25"/>
  <c r="S65" i="25"/>
  <c r="S66" i="25"/>
  <c r="R83" i="25"/>
  <c r="R70" i="25" s="1"/>
  <c r="R87" i="25"/>
  <c r="R72" i="25" s="1"/>
  <c r="I35" i="19"/>
  <c r="T50" i="25"/>
  <c r="P112" i="25"/>
  <c r="P113" i="25" s="1"/>
  <c r="P114" i="25" s="1"/>
  <c r="I11" i="24"/>
  <c r="P58" i="25"/>
  <c r="P59" i="25" s="1"/>
  <c r="R91" i="25"/>
  <c r="R93" i="25" s="1"/>
  <c r="R94" i="25"/>
  <c r="R96" i="25" s="1"/>
  <c r="R88" i="25"/>
  <c r="R73" i="25" s="1"/>
  <c r="R84" i="25"/>
  <c r="R71" i="25" s="1"/>
  <c r="R67" i="25"/>
  <c r="O54" i="25" l="1"/>
  <c r="O55" i="25" s="1"/>
  <c r="I12" i="24"/>
  <c r="J10" i="24"/>
  <c r="K10" i="24" s="1"/>
  <c r="P23" i="24" s="1"/>
  <c r="R104" i="25"/>
  <c r="R74" i="25" s="1"/>
  <c r="R107" i="25" s="1"/>
  <c r="R76" i="25" s="1"/>
  <c r="R111" i="25" s="1"/>
  <c r="R51" i="25" s="1"/>
  <c r="R58" i="25" s="1"/>
  <c r="R59" i="25" s="1"/>
  <c r="P52" i="25"/>
  <c r="P54" i="25" s="1"/>
  <c r="P55" i="25" s="1"/>
  <c r="R105" i="25"/>
  <c r="R75" i="25" s="1"/>
  <c r="R108" i="25" s="1"/>
  <c r="R77" i="25" s="1"/>
  <c r="S67" i="25"/>
  <c r="T86" i="25"/>
  <c r="T82" i="25"/>
  <c r="T99" i="25"/>
  <c r="T101" i="25" s="1"/>
  <c r="T78" i="25" s="1"/>
  <c r="T64" i="25"/>
  <c r="T92" i="25"/>
  <c r="T95" i="25"/>
  <c r="T65" i="25"/>
  <c r="T66" i="25"/>
  <c r="S84" i="25"/>
  <c r="S71" i="25" s="1"/>
  <c r="S88" i="25"/>
  <c r="S73" i="25" s="1"/>
  <c r="I37" i="19"/>
  <c r="U50" i="25"/>
  <c r="S87" i="25"/>
  <c r="S72" i="25" s="1"/>
  <c r="S83" i="25"/>
  <c r="S70" i="25" s="1"/>
  <c r="S91" i="25"/>
  <c r="S93" i="25" s="1"/>
  <c r="S94" i="25"/>
  <c r="S96" i="25" s="1"/>
  <c r="Q112" i="25"/>
  <c r="Q113" i="25" s="1"/>
  <c r="Q114" i="25" s="1"/>
  <c r="M10" i="24" l="1"/>
  <c r="P60" i="25"/>
  <c r="P61" i="25" s="1"/>
  <c r="J11" i="24"/>
  <c r="K11" i="24" s="1"/>
  <c r="M11" i="24" s="1"/>
  <c r="S104" i="25"/>
  <c r="S74" i="25" s="1"/>
  <c r="S107" i="25" s="1"/>
  <c r="S76" i="25" s="1"/>
  <c r="S111" i="25" s="1"/>
  <c r="S51" i="25" s="1"/>
  <c r="S58" i="25" s="1"/>
  <c r="S59" i="25" s="1"/>
  <c r="S105" i="25"/>
  <c r="S75" i="25" s="1"/>
  <c r="S108" i="25" s="1"/>
  <c r="S77" i="25" s="1"/>
  <c r="T67" i="25"/>
  <c r="T84" i="25"/>
  <c r="T71" i="25" s="1"/>
  <c r="T88" i="25"/>
  <c r="T73" i="25" s="1"/>
  <c r="T83" i="25"/>
  <c r="T70" i="25" s="1"/>
  <c r="T87" i="25"/>
  <c r="T72" i="25" s="1"/>
  <c r="I39" i="19"/>
  <c r="V50" i="25"/>
  <c r="Q52" i="25"/>
  <c r="R112" i="25"/>
  <c r="R113" i="25" s="1"/>
  <c r="R114" i="25" s="1"/>
  <c r="U86" i="25"/>
  <c r="U82" i="25"/>
  <c r="U99" i="25"/>
  <c r="U101" i="25" s="1"/>
  <c r="U78" i="25" s="1"/>
  <c r="U64" i="25"/>
  <c r="U92" i="25"/>
  <c r="U95" i="25"/>
  <c r="U66" i="25"/>
  <c r="U65" i="25"/>
  <c r="T91" i="25"/>
  <c r="T93" i="25" s="1"/>
  <c r="T94" i="25"/>
  <c r="T96" i="25" s="1"/>
  <c r="U67" i="25" l="1"/>
  <c r="T105" i="25"/>
  <c r="T75" i="25" s="1"/>
  <c r="T108" i="25" s="1"/>
  <c r="T77" i="25" s="1"/>
  <c r="T104" i="25"/>
  <c r="T74" i="25" s="1"/>
  <c r="T107" i="25" s="1"/>
  <c r="T76" i="25" s="1"/>
  <c r="T111" i="25" s="1"/>
  <c r="T51" i="25" s="1"/>
  <c r="T58" i="25" s="1"/>
  <c r="T59" i="25" s="1"/>
  <c r="R52" i="25"/>
  <c r="S112" i="25"/>
  <c r="S113" i="25" s="1"/>
  <c r="S114" i="25" s="1"/>
  <c r="J12" i="24"/>
  <c r="K12" i="24" s="1"/>
  <c r="M12" i="24" s="1"/>
  <c r="Q60" i="25"/>
  <c r="Q61" i="25" s="1"/>
  <c r="Q54" i="25"/>
  <c r="Q55" i="25" s="1"/>
  <c r="U84" i="25"/>
  <c r="U71" i="25" s="1"/>
  <c r="U88" i="25"/>
  <c r="U73" i="25" s="1"/>
  <c r="V99" i="25"/>
  <c r="V101" i="25" s="1"/>
  <c r="V78" i="25" s="1"/>
  <c r="V86" i="25"/>
  <c r="V82" i="25"/>
  <c r="V95" i="25"/>
  <c r="V66" i="25"/>
  <c r="V65" i="25"/>
  <c r="V92" i="25"/>
  <c r="V64" i="25"/>
  <c r="U83" i="25"/>
  <c r="U70" i="25" s="1"/>
  <c r="U87" i="25"/>
  <c r="U72" i="25" s="1"/>
  <c r="I41" i="19"/>
  <c r="W50" i="25"/>
  <c r="U91" i="25"/>
  <c r="U93" i="25" s="1"/>
  <c r="U94" i="25"/>
  <c r="U96" i="25" s="1"/>
  <c r="S52" i="25" l="1"/>
  <c r="S60" i="25" s="1"/>
  <c r="S61" i="25" s="1"/>
  <c r="V67" i="25"/>
  <c r="U104" i="25"/>
  <c r="U74" i="25" s="1"/>
  <c r="U107" i="25" s="1"/>
  <c r="U76" i="25" s="1"/>
  <c r="U111" i="25" s="1"/>
  <c r="U51" i="25" s="1"/>
  <c r="U58" i="25" s="1"/>
  <c r="U59" i="25" s="1"/>
  <c r="I43" i="19"/>
  <c r="X50" i="25"/>
  <c r="W99" i="25"/>
  <c r="W101" i="25" s="1"/>
  <c r="W78" i="25" s="1"/>
  <c r="W82" i="25"/>
  <c r="W86" i="25"/>
  <c r="W64" i="25"/>
  <c r="W92" i="25"/>
  <c r="W95" i="25"/>
  <c r="W65" i="25"/>
  <c r="W66" i="25"/>
  <c r="V88" i="25"/>
  <c r="V73" i="25" s="1"/>
  <c r="V84" i="25"/>
  <c r="V71" i="25" s="1"/>
  <c r="V83" i="25"/>
  <c r="V70" i="25" s="1"/>
  <c r="V87" i="25"/>
  <c r="V72" i="25" s="1"/>
  <c r="U105" i="25"/>
  <c r="U75" i="25" s="1"/>
  <c r="U108" i="25" s="1"/>
  <c r="U77" i="25" s="1"/>
  <c r="T112" i="25"/>
  <c r="T113" i="25" s="1"/>
  <c r="T114" i="25" s="1"/>
  <c r="V94" i="25"/>
  <c r="V96" i="25" s="1"/>
  <c r="V91" i="25"/>
  <c r="V93" i="25" s="1"/>
  <c r="R54" i="25"/>
  <c r="R55" i="25" s="1"/>
  <c r="R60" i="25"/>
  <c r="R61" i="25" s="1"/>
  <c r="S54" i="25" l="1"/>
  <c r="S55" i="25" s="1"/>
  <c r="V105" i="25"/>
  <c r="V75" i="25" s="1"/>
  <c r="V108" i="25" s="1"/>
  <c r="V77" i="25" s="1"/>
  <c r="T52" i="25"/>
  <c r="T54" i="25" s="1"/>
  <c r="T55" i="25" s="1"/>
  <c r="V104" i="25"/>
  <c r="V74" i="25" s="1"/>
  <c r="V107" i="25" s="1"/>
  <c r="V76" i="25" s="1"/>
  <c r="V111" i="25" s="1"/>
  <c r="V51" i="25" s="1"/>
  <c r="W91" i="25"/>
  <c r="W93" i="25" s="1"/>
  <c r="W94" i="25"/>
  <c r="W96" i="25" s="1"/>
  <c r="U112" i="25"/>
  <c r="U113" i="25" s="1"/>
  <c r="U114" i="25" s="1"/>
  <c r="W67" i="25"/>
  <c r="W84" i="25"/>
  <c r="W71" i="25" s="1"/>
  <c r="W88" i="25"/>
  <c r="W73" i="25" s="1"/>
  <c r="W87" i="25"/>
  <c r="W72" i="25" s="1"/>
  <c r="W83" i="25"/>
  <c r="W70" i="25" s="1"/>
  <c r="X86" i="25"/>
  <c r="X82" i="25"/>
  <c r="X99" i="25"/>
  <c r="X101" i="25" s="1"/>
  <c r="X78" i="25" s="1"/>
  <c r="X95" i="25"/>
  <c r="X65" i="25"/>
  <c r="X92" i="25"/>
  <c r="X64" i="25"/>
  <c r="X66" i="25"/>
  <c r="I45" i="19"/>
  <c r="Y50" i="25"/>
  <c r="W104" i="25" l="1"/>
  <c r="W74" i="25" s="1"/>
  <c r="W107" i="25" s="1"/>
  <c r="W76" i="25" s="1"/>
  <c r="W111" i="25" s="1"/>
  <c r="W51" i="25" s="1"/>
  <c r="W58" i="25" s="1"/>
  <c r="W59" i="25" s="1"/>
  <c r="X67" i="25"/>
  <c r="U52" i="25"/>
  <c r="U54" i="25" s="1"/>
  <c r="U55" i="25" s="1"/>
  <c r="T60" i="25"/>
  <c r="T61" i="25" s="1"/>
  <c r="X87" i="25"/>
  <c r="X72" i="25" s="1"/>
  <c r="X83" i="25"/>
  <c r="X70" i="25" s="1"/>
  <c r="X84" i="25"/>
  <c r="X71" i="25" s="1"/>
  <c r="X88" i="25"/>
  <c r="X73" i="25" s="1"/>
  <c r="Y86" i="25"/>
  <c r="Y99" i="25"/>
  <c r="Y101" i="25" s="1"/>
  <c r="Y78" i="25" s="1"/>
  <c r="Y82" i="25"/>
  <c r="Y64" i="25"/>
  <c r="Y92" i="25"/>
  <c r="Y66" i="25"/>
  <c r="Y65" i="25"/>
  <c r="Y95" i="25"/>
  <c r="I47" i="19"/>
  <c r="Z50" i="25"/>
  <c r="I13" i="24"/>
  <c r="V58" i="25"/>
  <c r="V59" i="25" s="1"/>
  <c r="V112" i="25"/>
  <c r="V113" i="25" s="1"/>
  <c r="V114" i="25" s="1"/>
  <c r="X91" i="25"/>
  <c r="X93" i="25" s="1"/>
  <c r="X94" i="25"/>
  <c r="X96" i="25" s="1"/>
  <c r="W105" i="25"/>
  <c r="W75" i="25" s="1"/>
  <c r="W108" i="25" s="1"/>
  <c r="W77" i="25" s="1"/>
  <c r="U60" i="25" l="1"/>
  <c r="U61" i="25" s="1"/>
  <c r="V52" i="25"/>
  <c r="V54" i="25" s="1"/>
  <c r="V55" i="25" s="1"/>
  <c r="X105" i="25"/>
  <c r="X75" i="25" s="1"/>
  <c r="X108" i="25" s="1"/>
  <c r="X77" i="25" s="1"/>
  <c r="X112" i="25" s="1"/>
  <c r="Y67" i="25"/>
  <c r="X104" i="25"/>
  <c r="X74" i="25" s="1"/>
  <c r="X107" i="25" s="1"/>
  <c r="X76" i="25" s="1"/>
  <c r="X111" i="25" s="1"/>
  <c r="X51" i="25" s="1"/>
  <c r="X58" i="25" s="1"/>
  <c r="X59" i="25" s="1"/>
  <c r="Y88" i="25"/>
  <c r="Y73" i="25" s="1"/>
  <c r="Y84" i="25"/>
  <c r="Y71" i="25" s="1"/>
  <c r="Z86" i="25"/>
  <c r="Z82" i="25"/>
  <c r="Z99" i="25"/>
  <c r="Z101" i="25" s="1"/>
  <c r="Z78" i="25" s="1"/>
  <c r="Z92" i="25"/>
  <c r="Z64" i="25"/>
  <c r="Z66" i="25"/>
  <c r="Z65" i="25"/>
  <c r="Z95" i="25"/>
  <c r="Y87" i="25"/>
  <c r="Y72" i="25" s="1"/>
  <c r="Y83" i="25"/>
  <c r="Y70" i="25" s="1"/>
  <c r="W112" i="25"/>
  <c r="W113" i="25" s="1"/>
  <c r="W114" i="25" s="1"/>
  <c r="I49" i="19"/>
  <c r="AA50" i="25"/>
  <c r="Y91" i="25"/>
  <c r="Y93" i="25" s="1"/>
  <c r="Y94" i="25"/>
  <c r="Y96" i="25" s="1"/>
  <c r="X113" i="25" l="1"/>
  <c r="X114" i="25" s="1"/>
  <c r="J13" i="24"/>
  <c r="K13" i="24" s="1"/>
  <c r="M13" i="24" s="1"/>
  <c r="V60" i="25"/>
  <c r="V61" i="25" s="1"/>
  <c r="Y104" i="25"/>
  <c r="Y74" i="25" s="1"/>
  <c r="Y107" i="25" s="1"/>
  <c r="Y76" i="25" s="1"/>
  <c r="Y111" i="25" s="1"/>
  <c r="Y51" i="25" s="1"/>
  <c r="Y58" i="25" s="1"/>
  <c r="Y59" i="25" s="1"/>
  <c r="Z67" i="25"/>
  <c r="W52" i="25"/>
  <c r="W54" i="25" s="1"/>
  <c r="W55" i="25" s="1"/>
  <c r="Y105" i="25"/>
  <c r="Y75" i="25" s="1"/>
  <c r="Y108" i="25" s="1"/>
  <c r="Y77" i="25" s="1"/>
  <c r="X52" i="25"/>
  <c r="X54" i="25" s="1"/>
  <c r="X55" i="25" s="1"/>
  <c r="Z87" i="25"/>
  <c r="Z72" i="25" s="1"/>
  <c r="Z83" i="25"/>
  <c r="Z70" i="25" s="1"/>
  <c r="AA82" i="25"/>
  <c r="AA99" i="25"/>
  <c r="AA101" i="25" s="1"/>
  <c r="AA78" i="25" s="1"/>
  <c r="AA86" i="25"/>
  <c r="AA64" i="25"/>
  <c r="AA92" i="25"/>
  <c r="AA66" i="25"/>
  <c r="AA65" i="25"/>
  <c r="AA95" i="25"/>
  <c r="Z91" i="25"/>
  <c r="Z93" i="25" s="1"/>
  <c r="Z94" i="25"/>
  <c r="Z96" i="25" s="1"/>
  <c r="I51" i="19"/>
  <c r="AB50" i="25"/>
  <c r="Z88" i="25"/>
  <c r="Z73" i="25" s="1"/>
  <c r="Z84" i="25"/>
  <c r="Z71" i="25" s="1"/>
  <c r="AA67" i="25" l="1"/>
  <c r="W60" i="25"/>
  <c r="W61" i="25" s="1"/>
  <c r="X60" i="25"/>
  <c r="X61" i="25" s="1"/>
  <c r="Z104" i="25"/>
  <c r="Z74" i="25" s="1"/>
  <c r="Z107" i="25" s="1"/>
  <c r="Z76" i="25" s="1"/>
  <c r="Z111" i="25" s="1"/>
  <c r="Z51" i="25" s="1"/>
  <c r="Z58" i="25" s="1"/>
  <c r="Z59" i="25" s="1"/>
  <c r="AA84" i="25"/>
  <c r="AA71" i="25" s="1"/>
  <c r="AA88" i="25"/>
  <c r="AA73" i="25" s="1"/>
  <c r="Y112" i="25"/>
  <c r="Y113" i="25" s="1"/>
  <c r="Y114" i="25" s="1"/>
  <c r="AB86" i="25"/>
  <c r="AB82" i="25"/>
  <c r="AB99" i="25"/>
  <c r="AB101" i="25" s="1"/>
  <c r="AB78" i="25" s="1"/>
  <c r="AB92" i="25"/>
  <c r="AB64" i="25"/>
  <c r="AB95" i="25"/>
  <c r="AB66" i="25"/>
  <c r="AB65" i="25"/>
  <c r="I53" i="19"/>
  <c r="AC50" i="25"/>
  <c r="AA91" i="25"/>
  <c r="AA93" i="25" s="1"/>
  <c r="AA94" i="25"/>
  <c r="AA96" i="25" s="1"/>
  <c r="Z105" i="25"/>
  <c r="Z75" i="25" s="1"/>
  <c r="Z108" i="25" s="1"/>
  <c r="Z77" i="25" s="1"/>
  <c r="AA87" i="25"/>
  <c r="AA72" i="25" s="1"/>
  <c r="AA83" i="25"/>
  <c r="AA70" i="25" s="1"/>
  <c r="AA104" i="25" l="1"/>
  <c r="AA74" i="25" s="1"/>
  <c r="AA107" i="25" s="1"/>
  <c r="AA76" i="25" s="1"/>
  <c r="AA111" i="25" s="1"/>
  <c r="AA51" i="25" s="1"/>
  <c r="AA58" i="25" s="1"/>
  <c r="AA59" i="25" s="1"/>
  <c r="AB67" i="25"/>
  <c r="AA105" i="25"/>
  <c r="AA75" i="25" s="1"/>
  <c r="AA108" i="25" s="1"/>
  <c r="AA77" i="25" s="1"/>
  <c r="AB91" i="25"/>
  <c r="AB93" i="25" s="1"/>
  <c r="AB94" i="25"/>
  <c r="AB96" i="25" s="1"/>
  <c r="AC86" i="25"/>
  <c r="AC82" i="25"/>
  <c r="AC99" i="25"/>
  <c r="AC101" i="25" s="1"/>
  <c r="AC78" i="25" s="1"/>
  <c r="AC92" i="25"/>
  <c r="AC64" i="25"/>
  <c r="AC95" i="25"/>
  <c r="AC65" i="25"/>
  <c r="AC66" i="25"/>
  <c r="Y52" i="25"/>
  <c r="I55" i="19"/>
  <c r="AD50" i="25"/>
  <c r="AB88" i="25"/>
  <c r="AB73" i="25" s="1"/>
  <c r="AB84" i="25"/>
  <c r="AB71" i="25" s="1"/>
  <c r="Z112" i="25"/>
  <c r="Z113" i="25" s="1"/>
  <c r="Z114" i="25" s="1"/>
  <c r="AB87" i="25"/>
  <c r="AB72" i="25" s="1"/>
  <c r="AB83" i="25"/>
  <c r="AB70" i="25" s="1"/>
  <c r="I14" i="24" l="1"/>
  <c r="AB105" i="25"/>
  <c r="AB75" i="25" s="1"/>
  <c r="AB108" i="25" s="1"/>
  <c r="AB77" i="25" s="1"/>
  <c r="AB112" i="25" s="1"/>
  <c r="AB52" i="25" s="1"/>
  <c r="Z52" i="25"/>
  <c r="Z60" i="25" s="1"/>
  <c r="Z61" i="25" s="1"/>
  <c r="AC83" i="25"/>
  <c r="AC70" i="25" s="1"/>
  <c r="AC87" i="25"/>
  <c r="AC72" i="25" s="1"/>
  <c r="AD99" i="25"/>
  <c r="AD101" i="25" s="1"/>
  <c r="AD78" i="25" s="1"/>
  <c r="AD82" i="25"/>
  <c r="AD86" i="25"/>
  <c r="AD64" i="25"/>
  <c r="AD92" i="25"/>
  <c r="AD65" i="25"/>
  <c r="AD66" i="25"/>
  <c r="AD95" i="25"/>
  <c r="I57" i="19"/>
  <c r="AE50" i="25"/>
  <c r="Y60" i="25"/>
  <c r="Y61" i="25" s="1"/>
  <c r="Y54" i="25"/>
  <c r="Y55" i="25" s="1"/>
  <c r="AC91" i="25"/>
  <c r="AC93" i="25" s="1"/>
  <c r="AC94" i="25"/>
  <c r="AC96" i="25" s="1"/>
  <c r="AA112" i="25"/>
  <c r="AA113" i="25" s="1"/>
  <c r="AA114" i="25" s="1"/>
  <c r="AB104" i="25"/>
  <c r="AB74" i="25" s="1"/>
  <c r="AB107" i="25" s="1"/>
  <c r="AB76" i="25" s="1"/>
  <c r="AB111" i="25" s="1"/>
  <c r="AB51" i="25" s="1"/>
  <c r="AB58" i="25" s="1"/>
  <c r="AB59" i="25" s="1"/>
  <c r="AC67" i="25"/>
  <c r="AC88" i="25"/>
  <c r="AC73" i="25" s="1"/>
  <c r="AC84" i="25"/>
  <c r="AC71" i="25" s="1"/>
  <c r="AA52" i="25" l="1"/>
  <c r="J14" i="24" s="1"/>
  <c r="K14" i="24" s="1"/>
  <c r="M14" i="24" s="1"/>
  <c r="AC104" i="25"/>
  <c r="AC74" i="25" s="1"/>
  <c r="AC107" i="25" s="1"/>
  <c r="AC76" i="25" s="1"/>
  <c r="AC111" i="25" s="1"/>
  <c r="AC51" i="25" s="1"/>
  <c r="AC58" i="25" s="1"/>
  <c r="AC59" i="25" s="1"/>
  <c r="Z54" i="25"/>
  <c r="Z55" i="25" s="1"/>
  <c r="AC105" i="25"/>
  <c r="AC75" i="25" s="1"/>
  <c r="AC108" i="25" s="1"/>
  <c r="AC77" i="25" s="1"/>
  <c r="AD91" i="25"/>
  <c r="AD93" i="25" s="1"/>
  <c r="AD94" i="25"/>
  <c r="AD96" i="25" s="1"/>
  <c r="AD87" i="25"/>
  <c r="AD72" i="25" s="1"/>
  <c r="AD83" i="25"/>
  <c r="AD70" i="25" s="1"/>
  <c r="AE82" i="25"/>
  <c r="AE86" i="25"/>
  <c r="AE99" i="25"/>
  <c r="AE101" i="25" s="1"/>
  <c r="AE78" i="25" s="1"/>
  <c r="AE64" i="25"/>
  <c r="AE92" i="25"/>
  <c r="AE95" i="25"/>
  <c r="AE65" i="25"/>
  <c r="AE66" i="25"/>
  <c r="AE67" i="25" s="1"/>
  <c r="I59" i="19"/>
  <c r="AF50" i="25"/>
  <c r="AD67" i="25"/>
  <c r="AB54" i="25"/>
  <c r="AB55" i="25" s="1"/>
  <c r="AB60" i="25"/>
  <c r="AB61" i="25" s="1"/>
  <c r="AD84" i="25"/>
  <c r="AD71" i="25" s="1"/>
  <c r="AD88" i="25"/>
  <c r="AD73" i="25" s="1"/>
  <c r="AB113" i="25"/>
  <c r="AB114" i="25" s="1"/>
  <c r="AA54" i="25" l="1"/>
  <c r="AA55" i="25" s="1"/>
  <c r="AA60" i="25"/>
  <c r="AA61" i="25" s="1"/>
  <c r="AD104" i="25"/>
  <c r="AD74" i="25" s="1"/>
  <c r="AD107" i="25" s="1"/>
  <c r="AD76" i="25" s="1"/>
  <c r="AD111" i="25" s="1"/>
  <c r="AD51" i="25" s="1"/>
  <c r="AD58" i="25" s="1"/>
  <c r="AD59" i="25" s="1"/>
  <c r="AD105" i="25"/>
  <c r="AD75" i="25" s="1"/>
  <c r="AD108" i="25" s="1"/>
  <c r="AD77" i="25" s="1"/>
  <c r="AD112" i="25" s="1"/>
  <c r="I61" i="19"/>
  <c r="AG50" i="25"/>
  <c r="AF82" i="25"/>
  <c r="AF99" i="25"/>
  <c r="AF101" i="25" s="1"/>
  <c r="AF78" i="25" s="1"/>
  <c r="AF86" i="25"/>
  <c r="AF92" i="25"/>
  <c r="AF64" i="25"/>
  <c r="AF65" i="25"/>
  <c r="AF66" i="25"/>
  <c r="AF95" i="25"/>
  <c r="AC112" i="25"/>
  <c r="AC113" i="25" s="1"/>
  <c r="AC114" i="25" s="1"/>
  <c r="AE84" i="25"/>
  <c r="AE71" i="25" s="1"/>
  <c r="AE88" i="25"/>
  <c r="AE73" i="25" s="1"/>
  <c r="AE83" i="25"/>
  <c r="AE70" i="25" s="1"/>
  <c r="AE87" i="25"/>
  <c r="AE72" i="25" s="1"/>
  <c r="AE91" i="25"/>
  <c r="AE93" i="25" s="1"/>
  <c r="AE94" i="25"/>
  <c r="AE96" i="25" s="1"/>
  <c r="AD113" i="25" l="1"/>
  <c r="AD114" i="25" s="1"/>
  <c r="AD52" i="25"/>
  <c r="AD54" i="25" s="1"/>
  <c r="AD55" i="25" s="1"/>
  <c r="AE105" i="25"/>
  <c r="AE75" i="25" s="1"/>
  <c r="AE108" i="25" s="1"/>
  <c r="AE77" i="25" s="1"/>
  <c r="AE104" i="25"/>
  <c r="AE74" i="25" s="1"/>
  <c r="AE107" i="25" s="1"/>
  <c r="AE76" i="25" s="1"/>
  <c r="AE111" i="25" s="1"/>
  <c r="AE51" i="25" s="1"/>
  <c r="AE58" i="25" s="1"/>
  <c r="AE59" i="25" s="1"/>
  <c r="AF83" i="25"/>
  <c r="AF70" i="25" s="1"/>
  <c r="AF87" i="25"/>
  <c r="AF72" i="25" s="1"/>
  <c r="AF84" i="25"/>
  <c r="AF71" i="25" s="1"/>
  <c r="AF88" i="25"/>
  <c r="AF73" i="25" s="1"/>
  <c r="AF91" i="25"/>
  <c r="AF93" i="25" s="1"/>
  <c r="AF94" i="25"/>
  <c r="AF96" i="25" s="1"/>
  <c r="AC52" i="25"/>
  <c r="AG86" i="25"/>
  <c r="AG99" i="25"/>
  <c r="AG101" i="25" s="1"/>
  <c r="AG78" i="25" s="1"/>
  <c r="AG82" i="25"/>
  <c r="AG64" i="25"/>
  <c r="AG92" i="25"/>
  <c r="AG66" i="25"/>
  <c r="AG65" i="25"/>
  <c r="AG95" i="25"/>
  <c r="AF67" i="25"/>
  <c r="I63" i="19"/>
  <c r="AH50" i="25"/>
  <c r="AD60" i="25" l="1"/>
  <c r="AD61" i="25" s="1"/>
  <c r="AF105" i="25"/>
  <c r="AF75" i="25" s="1"/>
  <c r="AF108" i="25" s="1"/>
  <c r="AF77" i="25" s="1"/>
  <c r="AG67" i="25"/>
  <c r="AF104" i="25"/>
  <c r="AF74" i="25" s="1"/>
  <c r="AF107" i="25" s="1"/>
  <c r="AF76" i="25" s="1"/>
  <c r="AF111" i="25" s="1"/>
  <c r="AF51" i="25" s="1"/>
  <c r="AG91" i="25"/>
  <c r="AG93" i="25" s="1"/>
  <c r="AG94" i="25"/>
  <c r="AG96" i="25" s="1"/>
  <c r="AE112" i="25"/>
  <c r="AE113" i="25" s="1"/>
  <c r="AE114" i="25" s="1"/>
  <c r="AG88" i="25"/>
  <c r="AG73" i="25" s="1"/>
  <c r="AG84" i="25"/>
  <c r="AG71" i="25" s="1"/>
  <c r="AC54" i="25"/>
  <c r="AC55" i="25" s="1"/>
  <c r="AC60" i="25"/>
  <c r="AC61" i="25" s="1"/>
  <c r="AH99" i="25"/>
  <c r="AH101" i="25" s="1"/>
  <c r="AH78" i="25" s="1"/>
  <c r="AH86" i="25"/>
  <c r="AH82" i="25"/>
  <c r="AH64" i="25"/>
  <c r="AH92" i="25"/>
  <c r="AH66" i="25"/>
  <c r="AH95" i="25"/>
  <c r="AH65" i="25"/>
  <c r="I65" i="19"/>
  <c r="AI50" i="25"/>
  <c r="AG87" i="25"/>
  <c r="AG72" i="25" s="1"/>
  <c r="AG83" i="25"/>
  <c r="AG70" i="25" s="1"/>
  <c r="AF112" i="25" l="1"/>
  <c r="AF113" i="25" s="1"/>
  <c r="AF114" i="25" s="1"/>
  <c r="AH67" i="25"/>
  <c r="AG105" i="25"/>
  <c r="AG75" i="25" s="1"/>
  <c r="AG108" i="25" s="1"/>
  <c r="AG77" i="25" s="1"/>
  <c r="AG104" i="25"/>
  <c r="AG74" i="25" s="1"/>
  <c r="AG107" i="25" s="1"/>
  <c r="AG76" i="25" s="1"/>
  <c r="AG111" i="25" s="1"/>
  <c r="AG51" i="25" s="1"/>
  <c r="AG58" i="25" s="1"/>
  <c r="AG59" i="25" s="1"/>
  <c r="AE52" i="25"/>
  <c r="AE60" i="25" s="1"/>
  <c r="AE61" i="25" s="1"/>
  <c r="I67" i="19"/>
  <c r="AJ50" i="25"/>
  <c r="AH91" i="25"/>
  <c r="AH93" i="25" s="1"/>
  <c r="AH94" i="25"/>
  <c r="AH96" i="25" s="1"/>
  <c r="I15" i="24"/>
  <c r="AF58" i="25"/>
  <c r="AF59" i="25" s="1"/>
  <c r="AH88" i="25"/>
  <c r="AH73" i="25" s="1"/>
  <c r="AH84" i="25"/>
  <c r="AH71" i="25" s="1"/>
  <c r="AI86" i="25"/>
  <c r="AI82" i="25"/>
  <c r="AI99" i="25"/>
  <c r="AI101" i="25" s="1"/>
  <c r="AI78" i="25" s="1"/>
  <c r="AI64" i="25"/>
  <c r="AI92" i="25"/>
  <c r="AI65" i="25"/>
  <c r="AI95" i="25"/>
  <c r="AI66" i="25"/>
  <c r="AH87" i="25"/>
  <c r="AH72" i="25" s="1"/>
  <c r="AH83" i="25"/>
  <c r="AH70" i="25" s="1"/>
  <c r="AE54" i="25" l="1"/>
  <c r="AE55" i="25" s="1"/>
  <c r="AH104" i="25"/>
  <c r="AH74" i="25" s="1"/>
  <c r="AH107" i="25" s="1"/>
  <c r="AH76" i="25" s="1"/>
  <c r="AH111" i="25" s="1"/>
  <c r="AH51" i="25" s="1"/>
  <c r="AH58" i="25" s="1"/>
  <c r="AH59" i="25" s="1"/>
  <c r="AF52" i="25"/>
  <c r="AI67" i="25"/>
  <c r="AH105" i="25"/>
  <c r="AH75" i="25" s="1"/>
  <c r="AH108" i="25" s="1"/>
  <c r="AH77" i="25" s="1"/>
  <c r="AG112" i="25"/>
  <c r="AG113" i="25" s="1"/>
  <c r="AG114" i="25" s="1"/>
  <c r="AJ82" i="25"/>
  <c r="AJ99" i="25"/>
  <c r="AJ101" i="25" s="1"/>
  <c r="AJ78" i="25" s="1"/>
  <c r="AJ86" i="25"/>
  <c r="AJ92" i="25"/>
  <c r="AJ64" i="25"/>
  <c r="AJ66" i="25"/>
  <c r="AJ65" i="25"/>
  <c r="AJ95" i="25"/>
  <c r="AI91" i="25"/>
  <c r="AI93" i="25" s="1"/>
  <c r="AI94" i="25"/>
  <c r="AI96" i="25" s="1"/>
  <c r="AI84" i="25"/>
  <c r="AI71" i="25" s="1"/>
  <c r="AI88" i="25"/>
  <c r="AI73" i="25" s="1"/>
  <c r="AI87" i="25"/>
  <c r="AI72" i="25" s="1"/>
  <c r="AI83" i="25"/>
  <c r="AI70" i="25" s="1"/>
  <c r="I69" i="19"/>
  <c r="AK50" i="25"/>
  <c r="AF54" i="25" l="1"/>
  <c r="AF55" i="25" s="1"/>
  <c r="J15" i="24"/>
  <c r="K15" i="24" s="1"/>
  <c r="M15" i="24" s="1"/>
  <c r="AF60" i="25"/>
  <c r="AF61" i="25" s="1"/>
  <c r="AI104" i="25"/>
  <c r="AI74" i="25" s="1"/>
  <c r="AI107" i="25" s="1"/>
  <c r="AI76" i="25" s="1"/>
  <c r="AI111" i="25" s="1"/>
  <c r="AI51" i="25" s="1"/>
  <c r="AI58" i="25" s="1"/>
  <c r="AI59" i="25" s="1"/>
  <c r="I71" i="19"/>
  <c r="AL50" i="25"/>
  <c r="AJ91" i="25"/>
  <c r="AJ93" i="25" s="1"/>
  <c r="AJ94" i="25"/>
  <c r="AJ96" i="25" s="1"/>
  <c r="AI105" i="25"/>
  <c r="AI75" i="25" s="1"/>
  <c r="AI108" i="25" s="1"/>
  <c r="AI77" i="25" s="1"/>
  <c r="AJ84" i="25"/>
  <c r="AJ71" i="25" s="1"/>
  <c r="AJ88" i="25"/>
  <c r="AJ73" i="25" s="1"/>
  <c r="AG52" i="25"/>
  <c r="AK82" i="25"/>
  <c r="AK99" i="25"/>
  <c r="AK101" i="25" s="1"/>
  <c r="AK78" i="25" s="1"/>
  <c r="AK86" i="25"/>
  <c r="AK64" i="25"/>
  <c r="AK92" i="25"/>
  <c r="AK66" i="25"/>
  <c r="AK65" i="25"/>
  <c r="AK95" i="25"/>
  <c r="AJ87" i="25"/>
  <c r="AJ72" i="25" s="1"/>
  <c r="AJ83" i="25"/>
  <c r="AJ70" i="25" s="1"/>
  <c r="AH112" i="25"/>
  <c r="AH113" i="25" s="1"/>
  <c r="AH114" i="25" s="1"/>
  <c r="AJ67" i="25"/>
  <c r="AJ104" i="25" l="1"/>
  <c r="AJ74" i="25" s="1"/>
  <c r="AJ107" i="25" s="1"/>
  <c r="AJ76" i="25" s="1"/>
  <c r="AJ111" i="25" s="1"/>
  <c r="AJ51" i="25" s="1"/>
  <c r="AJ58" i="25" s="1"/>
  <c r="AJ59" i="25" s="1"/>
  <c r="AK83" i="25"/>
  <c r="AK70" i="25" s="1"/>
  <c r="AK87" i="25"/>
  <c r="AK72" i="25" s="1"/>
  <c r="AK91" i="25"/>
  <c r="AK93" i="25" s="1"/>
  <c r="AK94" i="25"/>
  <c r="AK96" i="25" s="1"/>
  <c r="AK84" i="25"/>
  <c r="AK71" i="25" s="1"/>
  <c r="AK88" i="25"/>
  <c r="AK73" i="25" s="1"/>
  <c r="AJ105" i="25"/>
  <c r="AJ75" i="25" s="1"/>
  <c r="AJ108" i="25" s="1"/>
  <c r="AJ77" i="25" s="1"/>
  <c r="AL82" i="25"/>
  <c r="AL86" i="25"/>
  <c r="AL99" i="25"/>
  <c r="AL101" i="25" s="1"/>
  <c r="AL78" i="25" s="1"/>
  <c r="AL64" i="25"/>
  <c r="AL92" i="25"/>
  <c r="AL95" i="25"/>
  <c r="AL66" i="25"/>
  <c r="AL65" i="25"/>
  <c r="AI112" i="25"/>
  <c r="AI113" i="25" s="1"/>
  <c r="AI114" i="25" s="1"/>
  <c r="AG54" i="25"/>
  <c r="AG55" i="25" s="1"/>
  <c r="AG60" i="25"/>
  <c r="AG61" i="25" s="1"/>
  <c r="AH52" i="25"/>
  <c r="AK67" i="25"/>
  <c r="I73" i="19"/>
  <c r="AM50" i="25"/>
  <c r="AI52" i="25" l="1"/>
  <c r="AI54" i="25" s="1"/>
  <c r="AI55" i="25" s="1"/>
  <c r="AK104" i="25"/>
  <c r="AK74" i="25" s="1"/>
  <c r="AK107" i="25" s="1"/>
  <c r="AK76" i="25" s="1"/>
  <c r="AK111" i="25" s="1"/>
  <c r="AK51" i="25" s="1"/>
  <c r="AK105" i="25"/>
  <c r="AK75" i="25" s="1"/>
  <c r="AK108" i="25" s="1"/>
  <c r="AK77" i="25" s="1"/>
  <c r="AH60" i="25"/>
  <c r="AH61" i="25" s="1"/>
  <c r="AH54" i="25"/>
  <c r="AH55" i="25" s="1"/>
  <c r="AJ112" i="25"/>
  <c r="AJ113" i="25" s="1"/>
  <c r="AJ114" i="25" s="1"/>
  <c r="AL87" i="25"/>
  <c r="AL72" i="25" s="1"/>
  <c r="AL83" i="25"/>
  <c r="AL70" i="25" s="1"/>
  <c r="AL91" i="25"/>
  <c r="AL93" i="25" s="1"/>
  <c r="AL94" i="25"/>
  <c r="AL96" i="25" s="1"/>
  <c r="AM99" i="25"/>
  <c r="AM101" i="25" s="1"/>
  <c r="AM78" i="25" s="1"/>
  <c r="AM82" i="25"/>
  <c r="AM86" i="25"/>
  <c r="AM92" i="25"/>
  <c r="AM64" i="25"/>
  <c r="AM66" i="25"/>
  <c r="AM95" i="25"/>
  <c r="AM65" i="25"/>
  <c r="AL84" i="25"/>
  <c r="AL71" i="25" s="1"/>
  <c r="AL88" i="25"/>
  <c r="AL73" i="25" s="1"/>
  <c r="AL67" i="25"/>
  <c r="I75" i="19"/>
  <c r="AN50" i="25"/>
  <c r="AJ52" i="25" l="1"/>
  <c r="AJ60" i="25" s="1"/>
  <c r="AJ61" i="25" s="1"/>
  <c r="AI60" i="25"/>
  <c r="AI61" i="25" s="1"/>
  <c r="AM67" i="25"/>
  <c r="AM91" i="25"/>
  <c r="AM93" i="25" s="1"/>
  <c r="AM94" i="25"/>
  <c r="AM96" i="25" s="1"/>
  <c r="AM84" i="25"/>
  <c r="AM71" i="25" s="1"/>
  <c r="AM88" i="25"/>
  <c r="AM73" i="25" s="1"/>
  <c r="AN86" i="25"/>
  <c r="AN82" i="25"/>
  <c r="AN99" i="25"/>
  <c r="AN101" i="25" s="1"/>
  <c r="AN78" i="25" s="1"/>
  <c r="AN66" i="25"/>
  <c r="AN65" i="25"/>
  <c r="AN92" i="25"/>
  <c r="AN95" i="25"/>
  <c r="AN64" i="25"/>
  <c r="I16" i="24"/>
  <c r="AK58" i="25"/>
  <c r="AK59" i="25" s="1"/>
  <c r="AK112" i="25"/>
  <c r="AK113" i="25" s="1"/>
  <c r="AK114" i="25" s="1"/>
  <c r="I77" i="19"/>
  <c r="AO50" i="25"/>
  <c r="AL104" i="25"/>
  <c r="AL74" i="25" s="1"/>
  <c r="AL107" i="25" s="1"/>
  <c r="AL76" i="25" s="1"/>
  <c r="AL111" i="25" s="1"/>
  <c r="AL51" i="25" s="1"/>
  <c r="AL58" i="25" s="1"/>
  <c r="AL59" i="25" s="1"/>
  <c r="AM83" i="25"/>
  <c r="AM70" i="25" s="1"/>
  <c r="AM87" i="25"/>
  <c r="AM72" i="25" s="1"/>
  <c r="AL105" i="25"/>
  <c r="AL75" i="25" s="1"/>
  <c r="AL108" i="25" s="1"/>
  <c r="AL77" i="25" s="1"/>
  <c r="AK52" i="25" l="1"/>
  <c r="AK60" i="25" s="1"/>
  <c r="AK61" i="25" s="1"/>
  <c r="AJ54" i="25"/>
  <c r="AJ55" i="25" s="1"/>
  <c r="AM104" i="25"/>
  <c r="AM74" i="25" s="1"/>
  <c r="AM107" i="25" s="1"/>
  <c r="AM76" i="25" s="1"/>
  <c r="AM111" i="25" s="1"/>
  <c r="AM51" i="25" s="1"/>
  <c r="AM58" i="25" s="1"/>
  <c r="AM59" i="25" s="1"/>
  <c r="AM105" i="25"/>
  <c r="AM75" i="25" s="1"/>
  <c r="AM108" i="25" s="1"/>
  <c r="AM77" i="25" s="1"/>
  <c r="AM112" i="25" s="1"/>
  <c r="AN87" i="25"/>
  <c r="AN72" i="25" s="1"/>
  <c r="AN83" i="25"/>
  <c r="AN70" i="25" s="1"/>
  <c r="AL112" i="25"/>
  <c r="AL113" i="25" s="1"/>
  <c r="AL114" i="25" s="1"/>
  <c r="AO99" i="25"/>
  <c r="AO101" i="25" s="1"/>
  <c r="AO78" i="25" s="1"/>
  <c r="AO82" i="25"/>
  <c r="AO86" i="25"/>
  <c r="AO64" i="25"/>
  <c r="AO92" i="25"/>
  <c r="AO95" i="25"/>
  <c r="AO65" i="25"/>
  <c r="AO66" i="25"/>
  <c r="I79" i="19"/>
  <c r="AP50" i="25"/>
  <c r="AN88" i="25"/>
  <c r="AN73" i="25" s="1"/>
  <c r="AN84" i="25"/>
  <c r="AN71" i="25" s="1"/>
  <c r="AN67" i="25"/>
  <c r="AN91" i="25"/>
  <c r="AN93" i="25" s="1"/>
  <c r="AN94" i="25"/>
  <c r="AN96" i="25" s="1"/>
  <c r="J16" i="24" l="1"/>
  <c r="K16" i="24" s="1"/>
  <c r="M16" i="24" s="1"/>
  <c r="AK54" i="25"/>
  <c r="AK55" i="25" s="1"/>
  <c r="AM113" i="25"/>
  <c r="AM114" i="25" s="1"/>
  <c r="AN105" i="25"/>
  <c r="AN75" i="25" s="1"/>
  <c r="AN108" i="25" s="1"/>
  <c r="AN77" i="25" s="1"/>
  <c r="AN112" i="25" s="1"/>
  <c r="AN52" i="25" s="1"/>
  <c r="AN104" i="25"/>
  <c r="AN74" i="25" s="1"/>
  <c r="AN107" i="25" s="1"/>
  <c r="AN76" i="25" s="1"/>
  <c r="AN111" i="25" s="1"/>
  <c r="AN51" i="25" s="1"/>
  <c r="AN58" i="25" s="1"/>
  <c r="AN59" i="25" s="1"/>
  <c r="AL52" i="25"/>
  <c r="AL60" i="25" s="1"/>
  <c r="AL61" i="25" s="1"/>
  <c r="AO67" i="25"/>
  <c r="AM52" i="25"/>
  <c r="AM54" i="25" s="1"/>
  <c r="AM55" i="25" s="1"/>
  <c r="AO88" i="25"/>
  <c r="AO73" i="25" s="1"/>
  <c r="AO84" i="25"/>
  <c r="AO71" i="25" s="1"/>
  <c r="AO83" i="25"/>
  <c r="AO70" i="25" s="1"/>
  <c r="AO87" i="25"/>
  <c r="AO72" i="25" s="1"/>
  <c r="AO91" i="25"/>
  <c r="AO93" i="25" s="1"/>
  <c r="AO94" i="25"/>
  <c r="AO96" i="25" s="1"/>
  <c r="AP86" i="25"/>
  <c r="AP82" i="25"/>
  <c r="AP99" i="25"/>
  <c r="AP101" i="25" s="1"/>
  <c r="AP78" i="25" s="1"/>
  <c r="AP92" i="25"/>
  <c r="AP64" i="25"/>
  <c r="AP65" i="25"/>
  <c r="AP66" i="25"/>
  <c r="AP95" i="25"/>
  <c r="I81" i="19"/>
  <c r="I83" i="19" s="1"/>
  <c r="I85" i="19" s="1"/>
  <c r="I87" i="19" s="1"/>
  <c r="I89" i="19" s="1"/>
  <c r="I91" i="19" s="1"/>
  <c r="AQ50" i="25"/>
  <c r="AP67" i="25" l="1"/>
  <c r="AL54" i="25"/>
  <c r="AL55" i="25" s="1"/>
  <c r="AO104" i="25"/>
  <c r="AM60" i="25"/>
  <c r="AM61" i="25" s="1"/>
  <c r="AO74" i="25"/>
  <c r="AO107" i="25" s="1"/>
  <c r="AO76" i="25" s="1"/>
  <c r="AO111" i="25" s="1"/>
  <c r="AO51" i="25" s="1"/>
  <c r="AO58" i="25" s="1"/>
  <c r="AO59" i="25" s="1"/>
  <c r="AP84" i="25"/>
  <c r="AP71" i="25" s="1"/>
  <c r="AP88" i="25"/>
  <c r="AP73" i="25" s="1"/>
  <c r="AP87" i="25"/>
  <c r="AP72" i="25" s="1"/>
  <c r="AP83" i="25"/>
  <c r="AP70" i="25" s="1"/>
  <c r="AQ82" i="25"/>
  <c r="AQ86" i="25"/>
  <c r="AQ99" i="25"/>
  <c r="AQ101" i="25" s="1"/>
  <c r="AQ78" i="25" s="1"/>
  <c r="AQ65" i="25"/>
  <c r="AQ66" i="25"/>
  <c r="AQ95" i="25"/>
  <c r="AQ64" i="25"/>
  <c r="AQ92" i="25"/>
  <c r="AN54" i="25"/>
  <c r="AN55" i="25" s="1"/>
  <c r="AN60" i="25"/>
  <c r="AN61" i="25" s="1"/>
  <c r="AO105" i="25"/>
  <c r="AO75" i="25" s="1"/>
  <c r="AO108" i="25" s="1"/>
  <c r="AO77" i="25" s="1"/>
  <c r="AN113" i="25"/>
  <c r="AN114" i="25" s="1"/>
  <c r="AP91" i="25"/>
  <c r="AP93" i="25" s="1"/>
  <c r="AP94" i="25"/>
  <c r="AP96" i="25" s="1"/>
  <c r="AP105" i="25" l="1"/>
  <c r="AP75" i="25" s="1"/>
  <c r="AP108" i="25" s="1"/>
  <c r="AP77" i="25" s="1"/>
  <c r="AQ84" i="25"/>
  <c r="AQ71" i="25" s="1"/>
  <c r="AQ88" i="25"/>
  <c r="AQ73" i="25" s="1"/>
  <c r="AQ83" i="25"/>
  <c r="AQ70" i="25" s="1"/>
  <c r="AQ87" i="25"/>
  <c r="AQ72" i="25" s="1"/>
  <c r="AO112" i="25"/>
  <c r="AO113" i="25" s="1"/>
  <c r="AO114" i="25" s="1"/>
  <c r="AQ67" i="25"/>
  <c r="AQ94" i="25"/>
  <c r="AQ96" i="25" s="1"/>
  <c r="AQ91" i="25"/>
  <c r="AQ93" i="25" s="1"/>
  <c r="AP104" i="25"/>
  <c r="AP74" i="25" s="1"/>
  <c r="AP107" i="25" s="1"/>
  <c r="AP76" i="25" s="1"/>
  <c r="AP111" i="25" s="1"/>
  <c r="AP51" i="25" s="1"/>
  <c r="AO52" i="25" l="1"/>
  <c r="AO60" i="25" s="1"/>
  <c r="AO61" i="25" s="1"/>
  <c r="AQ105" i="25"/>
  <c r="AQ75" i="25" s="1"/>
  <c r="AQ108" i="25" s="1"/>
  <c r="AQ77" i="25" s="1"/>
  <c r="AQ104" i="25"/>
  <c r="AQ74" i="25" s="1"/>
  <c r="AQ107" i="25" s="1"/>
  <c r="AQ76" i="25" s="1"/>
  <c r="AQ111" i="25" s="1"/>
  <c r="AQ51" i="25" s="1"/>
  <c r="AQ58" i="25" s="1"/>
  <c r="AQ59" i="25" s="1"/>
  <c r="AP112" i="25"/>
  <c r="AP113" i="25" s="1"/>
  <c r="AP114" i="25" s="1"/>
  <c r="I17" i="24"/>
  <c r="AP58" i="25"/>
  <c r="AP59" i="25" s="1"/>
  <c r="AO54" i="25" l="1"/>
  <c r="AO55" i="25" s="1"/>
  <c r="AQ112" i="25"/>
  <c r="AQ113" i="25" s="1"/>
  <c r="AQ114" i="25" s="1"/>
  <c r="AP52" i="25"/>
  <c r="AP54" i="25" l="1"/>
  <c r="AP55" i="25" s="1"/>
  <c r="J17" i="24"/>
  <c r="K17" i="24" s="1"/>
  <c r="M17" i="24" s="1"/>
  <c r="AP60" i="25"/>
  <c r="AP61" i="25" s="1"/>
  <c r="AQ52" i="25"/>
  <c r="AQ54" i="25" l="1"/>
  <c r="AQ55" i="25" s="1"/>
  <c r="AQ60" i="25"/>
  <c r="AQ61"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Seaman</author>
  </authors>
  <commentList>
    <comment ref="D4" authorId="0" shapeId="0" xr:uid="{00000000-0006-0000-0600-000001000000}">
      <text>
        <r>
          <rPr>
            <b/>
            <sz val="9"/>
            <color indexed="81"/>
            <rFont val="Tahoma"/>
            <family val="2"/>
          </rPr>
          <t>Richard Seaman:</t>
        </r>
        <r>
          <rPr>
            <sz val="9"/>
            <color indexed="81"/>
            <rFont val="Tahoma"/>
            <family val="2"/>
          </rPr>
          <t xml:space="preserve">
From the MUUD Tax Calcs which is done by us</t>
        </r>
      </text>
    </comment>
    <comment ref="D5" authorId="0" shapeId="0" xr:uid="{00000000-0006-0000-0600-000002000000}">
      <text>
        <r>
          <rPr>
            <b/>
            <sz val="9"/>
            <color indexed="81"/>
            <rFont val="Tahoma"/>
            <family val="2"/>
          </rPr>
          <t>Richard Seaman:</t>
        </r>
        <r>
          <rPr>
            <sz val="9"/>
            <color indexed="81"/>
            <rFont val="Tahoma"/>
            <family val="2"/>
          </rPr>
          <t xml:space="preserve">
aka PLUG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 Seaman</author>
  </authors>
  <commentList>
    <comment ref="D4" authorId="0" shapeId="0" xr:uid="{00000000-0006-0000-0700-000001000000}">
      <text>
        <r>
          <rPr>
            <b/>
            <sz val="9"/>
            <color indexed="81"/>
            <rFont val="Tahoma"/>
            <family val="2"/>
          </rPr>
          <t>Richard Seaman:</t>
        </r>
        <r>
          <rPr>
            <sz val="9"/>
            <color indexed="81"/>
            <rFont val="Tahoma"/>
            <family val="2"/>
          </rPr>
          <t xml:space="preserve">
From the MUUD Tax Calcs which is done by 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Richard Seaman</author>
  </authors>
  <commentList>
    <comment ref="D4" authorId="0" shapeId="0" xr:uid="{00000000-0006-0000-0800-000001000000}">
      <text>
        <r>
          <rPr>
            <b/>
            <sz val="9"/>
            <color indexed="81"/>
            <rFont val="Tahoma"/>
            <family val="2"/>
          </rPr>
          <t>Richard Seaman:</t>
        </r>
        <r>
          <rPr>
            <sz val="9"/>
            <color indexed="81"/>
            <rFont val="Tahoma"/>
            <family val="2"/>
          </rPr>
          <t xml:space="preserve">
From the MUUD Tax Calcs which is done by 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 Seaman</author>
  </authors>
  <commentList>
    <comment ref="C11" authorId="0" shapeId="0" xr:uid="{00000000-0006-0000-0200-000001000000}">
      <text>
        <r>
          <rPr>
            <b/>
            <sz val="9"/>
            <color indexed="81"/>
            <rFont val="Tahoma"/>
            <family val="2"/>
          </rPr>
          <t>Richard Seaman:</t>
        </r>
        <r>
          <rPr>
            <sz val="9"/>
            <color indexed="81"/>
            <rFont val="Tahoma"/>
            <family val="2"/>
          </rPr>
          <t xml:space="preserve">
MUUD Elementaries</t>
        </r>
      </text>
    </comment>
    <comment ref="C13" authorId="0" shapeId="0" xr:uid="{00000000-0006-0000-0200-000002000000}">
      <text>
        <r>
          <rPr>
            <b/>
            <sz val="9"/>
            <color indexed="81"/>
            <rFont val="Tahoma"/>
            <family val="2"/>
          </rPr>
          <t>Richard Seaman:</t>
        </r>
        <r>
          <rPr>
            <sz val="9"/>
            <color indexed="81"/>
            <rFont val="Tahoma"/>
            <family val="2"/>
          </rPr>
          <t xml:space="preserve">
MUUD Elementaries</t>
        </r>
      </text>
    </comment>
  </commentList>
</comments>
</file>

<file path=xl/sharedStrings.xml><?xml version="1.0" encoding="utf-8"?>
<sst xmlns="http://schemas.openxmlformats.org/spreadsheetml/2006/main" count="1019" uniqueCount="295">
  <si>
    <t>Interest</t>
  </si>
  <si>
    <t>Principal</t>
  </si>
  <si>
    <t>FY19 Ed. Spending Grant:</t>
  </si>
  <si>
    <t>Year</t>
  </si>
  <si>
    <t>Property Value</t>
  </si>
  <si>
    <t>Ann. Debt  Serv/As % of FY19 Ed. Spdg</t>
  </si>
  <si>
    <t>Payment Date</t>
  </si>
  <si>
    <t>a</t>
  </si>
  <si>
    <t>b</t>
  </si>
  <si>
    <t>Years</t>
  </si>
  <si>
    <t>Total</t>
  </si>
  <si>
    <t>TOTAL</t>
  </si>
  <si>
    <t>Principal Balance</t>
  </si>
  <si>
    <t>Total Annual Payment</t>
  </si>
  <si>
    <t>FY19 Base Tax rate before CLA</t>
  </si>
  <si>
    <t>Tax Impact on</t>
  </si>
  <si>
    <t>Increase in Tax Rate</t>
  </si>
  <si>
    <t>FY19 Base Homestead Tax rate before CLA</t>
  </si>
  <si>
    <t>per $100</t>
  </si>
  <si>
    <t>FY19 Base Tax rate before CLA:</t>
  </si>
  <si>
    <t>Input Principal Amount</t>
  </si>
  <si>
    <t>Year 1</t>
  </si>
  <si>
    <t>Year 2</t>
  </si>
  <si>
    <t>Year 3</t>
  </si>
  <si>
    <t>30 Years</t>
  </si>
  <si>
    <t>25 Years</t>
  </si>
  <si>
    <t>20 Years</t>
  </si>
  <si>
    <t>Tax Rate Impact</t>
  </si>
  <si>
    <t>Bond Model: Woodstock Union High School</t>
  </si>
  <si>
    <t>Impact on Cost per Eq. Pupil</t>
  </si>
  <si>
    <t>FY20 Education Spending</t>
  </si>
  <si>
    <t>WUHS</t>
  </si>
  <si>
    <t>Elem</t>
  </si>
  <si>
    <t>FY20 Equalized Pupils</t>
  </si>
  <si>
    <t>FY20 Cost/Eq. Pupil</t>
  </si>
  <si>
    <t>Cost per EP</t>
  </si>
  <si>
    <t>Year 1 Tax Change</t>
  </si>
  <si>
    <t>Year 2 Tax Change</t>
  </si>
  <si>
    <t>Year 3 Tax Change</t>
  </si>
  <si>
    <t>Bond Total</t>
  </si>
  <si>
    <t>Bond Prinicpal Amount</t>
  </si>
  <si>
    <t>Estimate Project Cost</t>
  </si>
  <si>
    <t>Enter Value</t>
  </si>
  <si>
    <t>Less: Est. Performance Bond Opportunities</t>
  </si>
  <si>
    <t>Less: Est. Private Fund raising (Foundation)</t>
  </si>
  <si>
    <t>Originall Prepared: Using Vermont Bond Bank Schedule for $40 million - Pro-rated based on Principal Amount Below</t>
  </si>
  <si>
    <t>Cost per Equalized Pupil</t>
  </si>
  <si>
    <t>FY 20 Cost per Equalized Pupil</t>
  </si>
  <si>
    <t>$300K Home Property Tax Rate ($) Increase to Households &gt; $140K Income</t>
  </si>
  <si>
    <t>30 Year Bond Note</t>
  </si>
  <si>
    <t>25 Year Bond Note</t>
  </si>
  <si>
    <t>20 Year Bond Note</t>
  </si>
  <si>
    <t>Home Property Tax Rate (%) Increase to Households &gt; $140K Income</t>
  </si>
  <si>
    <t>$500K Home Property Tax Rate ($) Increase to Households &gt; $140K Income</t>
  </si>
  <si>
    <t>Home Property Tax Rate  Non Residents</t>
  </si>
  <si>
    <t>% of Income rate for Households &lt; $90K and Home Values Under $400K</t>
  </si>
  <si>
    <t>% of Income rate for Households &gt; $90K and Home Values Under $225K</t>
  </si>
  <si>
    <t>Property Taxes for Household Income of $50K and Home Value under $400K</t>
  </si>
  <si>
    <t>Home Property Tax Rate  Non Residents - NO Increase</t>
  </si>
  <si>
    <t>Property Taxes for Household Income of $90K and Home Value under $400K</t>
  </si>
  <si>
    <t>Property Taxes for Household Income of $100K and Home Value under $225K</t>
  </si>
  <si>
    <t>Property Taxes for Household Income of $130K and Home Value under $225K</t>
  </si>
  <si>
    <t>No Increase- Assuming no changes to current VT Property Tax Law</t>
  </si>
  <si>
    <t>Home Property Tax Rate Non Residents - NO Increase</t>
  </si>
  <si>
    <t>Income</t>
  </si>
  <si>
    <t>Home value</t>
  </si>
  <si>
    <t>Amount Resulting from Bond</t>
  </si>
  <si>
    <t>Percent Increase</t>
  </si>
  <si>
    <t>WCSU</t>
  </si>
  <si>
    <t>Annual Education Income Taxes (without bond costs)</t>
  </si>
  <si>
    <t>Annual Education Income Taxes (with bond costs)</t>
  </si>
  <si>
    <t>CLA</t>
  </si>
  <si>
    <t>Interest Rate</t>
  </si>
  <si>
    <t>Individual Taxpayer</t>
  </si>
  <si>
    <t>School District</t>
  </si>
  <si>
    <t>Town</t>
  </si>
  <si>
    <t>Education Property Taxes Due</t>
  </si>
  <si>
    <t>Income Sensitivity Credit Calculation</t>
  </si>
  <si>
    <t>For Income Above $90k (Pre-Bond)</t>
  </si>
  <si>
    <t>For Income Above $90k (With Bond)</t>
  </si>
  <si>
    <t xml:space="preserve">For Income Between $47k and $90k (Pre-Bond) </t>
  </si>
  <si>
    <t xml:space="preserve">For Income Between $47k and $90k (With Bond) </t>
  </si>
  <si>
    <t>For Income Below $47k (Pre-Bond)</t>
  </si>
  <si>
    <t>For Income Below $47k (With Bond)</t>
  </si>
  <si>
    <t xml:space="preserve">Education Property Taxes Due After Credits Applied </t>
  </si>
  <si>
    <t>Credit due for income &gt; $90k (no bond)</t>
  </si>
  <si>
    <t>Credit due for income &gt; $90k (w bond)</t>
  </si>
  <si>
    <t>Credit due for income &lt; $90k (no bond)</t>
  </si>
  <si>
    <t>Credit due for income &lt; $90k (w bond)</t>
  </si>
  <si>
    <t>First Credit due for income &lt; $47k  (no bond)</t>
  </si>
  <si>
    <t xml:space="preserve">Non-exempt property for income &gt; $90k </t>
  </si>
  <si>
    <t xml:space="preserve">Non-exempt property for income &lt; $90k </t>
  </si>
  <si>
    <t>Income Tax + Property Tax on Value over $400k (no bond)</t>
  </si>
  <si>
    <t>Income Tax + Property Tax on Value over $400k (w bond)</t>
  </si>
  <si>
    <t>(For Income &gt; $90K)</t>
  </si>
  <si>
    <t>Interim calculation steps</t>
  </si>
  <si>
    <t>Annual Education Income Taxes (pre bond)</t>
  </si>
  <si>
    <t>Annual Education Income Taxes (with bond)</t>
  </si>
  <si>
    <t>Total Project Cost</t>
  </si>
  <si>
    <t xml:space="preserve">Total Private &amp; Grant Funding Pledged </t>
  </si>
  <si>
    <t xml:space="preserve">Property Tax on Home Value -$15k (no bond) </t>
  </si>
  <si>
    <t xml:space="preserve">Property Tax on Home Value -$15k (w bond) </t>
  </si>
  <si>
    <t xml:space="preserve">Calculation of "Income-Based" Tax Using Dept of Taxes Approach (excludes non-exempt property taxes due) </t>
  </si>
  <si>
    <t>Education Taxes Due (with bond)</t>
  </si>
  <si>
    <t>Percentage Increase</t>
  </si>
  <si>
    <t>Estimated Individual Taxpayer Impact</t>
  </si>
  <si>
    <t>(for Income &lt; 47K) Three Credits Available</t>
  </si>
  <si>
    <t>First Credit Calculation</t>
  </si>
  <si>
    <t>Second Credit Calculation</t>
  </si>
  <si>
    <t>Third Credit Calculation</t>
  </si>
  <si>
    <t>Third Credit Due for income &lt; $47k (no bond)</t>
  </si>
  <si>
    <t>Third Credit Due for income &lt; $47k (w bond)</t>
  </si>
  <si>
    <t>Applicable Education Tax Credit (Pre-Bond)</t>
  </si>
  <si>
    <t>Applicable Education Tax Credit (With Bond)</t>
  </si>
  <si>
    <t>(For Income &lt; $90k)</t>
  </si>
  <si>
    <t>Municipal Taxes Due</t>
  </si>
  <si>
    <t xml:space="preserve">Applicable Statutory Percentage x Income </t>
  </si>
  <si>
    <t>Applicable Municipal Tax Credit (With and Without Bond)</t>
  </si>
  <si>
    <t>Second (Municipal) Credit Due for income &lt; $47k (w&amp;w/o bond)</t>
  </si>
  <si>
    <t>Term of Bond in Years</t>
  </si>
  <si>
    <t>Bond Amount</t>
  </si>
  <si>
    <t xml:space="preserve">Per Pupil Spend (with bond) </t>
  </si>
  <si>
    <t>Municipal Tax Rate (as of 2018)</t>
  </si>
  <si>
    <t>Gross Annual Payment</t>
  </si>
  <si>
    <t>Net Annual Payment</t>
  </si>
  <si>
    <t>First Credit due for income &lt; $47k  (w bond)</t>
  </si>
  <si>
    <t>Education Spending</t>
  </si>
  <si>
    <t>Homestead Property Tax Yield</t>
  </si>
  <si>
    <t>Equalized</t>
  </si>
  <si>
    <t>Enrollment</t>
  </si>
  <si>
    <t>Equalized Pupils</t>
  </si>
  <si>
    <t>Tuition Students</t>
  </si>
  <si>
    <t>With NB (+2/yr)</t>
  </si>
  <si>
    <t>Enter Annual % Increase in Ed Spending:</t>
  </si>
  <si>
    <t>Increasing</t>
  </si>
  <si>
    <t>Enter Annual % Increase in Home Value:</t>
  </si>
  <si>
    <t>Enter Annual % Increase in Income</t>
  </si>
  <si>
    <t>Home Value</t>
  </si>
  <si>
    <t>Taxpayer Home Value</t>
  </si>
  <si>
    <t>Tapayer Income</t>
  </si>
  <si>
    <t>Taxpayer Income</t>
  </si>
  <si>
    <t>Year of Bond Debt Service</t>
  </si>
  <si>
    <t xml:space="preserve">Amount of Bond Debt Service for Year </t>
  </si>
  <si>
    <t>Contribution from Fundraising/Endowment</t>
  </si>
  <si>
    <t>Baseline Equalized Pupils</t>
  </si>
  <si>
    <t>Per Pupil Spend (no bond)</t>
  </si>
  <si>
    <t>Education Taxes Due (no bond)</t>
  </si>
  <si>
    <t>Annual Education Income Taxes (no bond)</t>
  </si>
  <si>
    <t xml:space="preserve">Annual Education Property Taxes (with bond) </t>
  </si>
  <si>
    <t>Tax Rate Projections by Year</t>
  </si>
  <si>
    <t>Homestead Income Yield</t>
  </si>
  <si>
    <t>Enter Annual % Increase in Yield:</t>
  </si>
  <si>
    <t>Property Yield</t>
  </si>
  <si>
    <t>Income Yield</t>
  </si>
  <si>
    <t>Town Homestead Property Tax Rate (pre-bond)</t>
  </si>
  <si>
    <t>Town Homestead Property Tax Rate (with bond)</t>
  </si>
  <si>
    <t>Equalized Homestead Prop Tax Rate (no bond)</t>
  </si>
  <si>
    <t>Equalized Homestead Prop Tax Rate (with bond)</t>
  </si>
  <si>
    <t>Equalized Income Tax Rate (pre-bond)</t>
  </si>
  <si>
    <t>Equalized Income Tax Rate (with bond)</t>
  </si>
  <si>
    <t>Current Equalized Pupils</t>
  </si>
  <si>
    <t>Year 1 New Equalized Pupils</t>
  </si>
  <si>
    <t>Annual Increase in Eps</t>
  </si>
  <si>
    <t xml:space="preserve">Bridgewater </t>
  </si>
  <si>
    <t xml:space="preserve">Barnard </t>
  </si>
  <si>
    <t>Killington</t>
  </si>
  <si>
    <t>Plymouth</t>
  </si>
  <si>
    <t>Pomfret</t>
  </si>
  <si>
    <t>Reading</t>
  </si>
  <si>
    <t>Woodstock</t>
  </si>
  <si>
    <t>Town Income Tax Rate (pre-bond)</t>
  </si>
  <si>
    <t>Town Income Tax Rate (with bond)</t>
  </si>
  <si>
    <t>Tax Amount Resulting from Bond</t>
  </si>
  <si>
    <t>Annual Education Property Taxes (no bond)</t>
  </si>
  <si>
    <t>Tax Amount Compared to Baseline (no bond)</t>
  </si>
  <si>
    <t>Tax Amount Compared to Baseline (with bond)</t>
  </si>
  <si>
    <t>Comparison to Baseline Taxes Due (i.e. Current Tax Rates/Enrollment)</t>
  </si>
  <si>
    <t>Tax Percentage +/- Compared to Baseline (no bond)</t>
  </si>
  <si>
    <t>Tax Percentage +/- Compared to Baseline (with bond)</t>
  </si>
  <si>
    <t>Tax Percentage +/- Resulting from Bond</t>
  </si>
  <si>
    <t>WUMHS 10 yr. Maintenance Expenditure Projection</t>
  </si>
  <si>
    <t>Plumbing Upgrades</t>
  </si>
  <si>
    <t>Electrical Upgrades</t>
  </si>
  <si>
    <t>HVAC Upgrade AHU's</t>
  </si>
  <si>
    <t>Sprinkler System*</t>
  </si>
  <si>
    <t>Flooring*- w/remediation (just asbestos)</t>
  </si>
  <si>
    <t>Cost</t>
  </si>
  <si>
    <t>None</t>
  </si>
  <si>
    <t>Engineering Study Gym Roof/Roof Replacement/Repairs</t>
  </si>
  <si>
    <t>Parking Lot Paving &amp; Auditorium Seating</t>
  </si>
  <si>
    <t>Door Replacement/Repair, ADA Accessibility Study</t>
  </si>
  <si>
    <t xml:space="preserve">Fire Alarm System, Garage Doors - Bus Barn, </t>
  </si>
  <si>
    <t xml:space="preserve">Greenhouse Replacements, </t>
  </si>
  <si>
    <t xml:space="preserve">Window &amp; Door Replace/Repair &amp; </t>
  </si>
  <si>
    <t xml:space="preserve">Replace Boilers &amp; </t>
  </si>
  <si>
    <t>Convert to Propane/Building Envelope Repairs</t>
  </si>
  <si>
    <t>Projects</t>
  </si>
  <si>
    <t>Avoidable Costs</t>
  </si>
  <si>
    <t>Annual Total Cost</t>
  </si>
  <si>
    <t>and electrical subject to an annual</t>
  </si>
  <si>
    <t>increase of 5%</t>
  </si>
  <si>
    <t>Annual cost of fuel oil, propane</t>
  </si>
  <si>
    <t>Decreasing</t>
  </si>
  <si>
    <t>Old Building</t>
  </si>
  <si>
    <t>New Building</t>
  </si>
  <si>
    <t>Education Spending (New Building)</t>
  </si>
  <si>
    <t>Education Spending (Old Building)</t>
  </si>
  <si>
    <t>Per Pupil Spend (no bond- baseline)</t>
  </si>
  <si>
    <t>Per Pupil Spend (old building)</t>
  </si>
  <si>
    <t>Equalized Pupils (new building)</t>
  </si>
  <si>
    <t>Equalized Pupils (old building)</t>
  </si>
  <si>
    <t>Tax Rate Projections by 
Fiscal Year</t>
  </si>
  <si>
    <t>Equalized Homestead Prop Tax Rate (no bond - baseline)</t>
  </si>
  <si>
    <t>Equalized Homestead Prop Tax Rate (old building)</t>
  </si>
  <si>
    <t>Tax Amount Compared to Baseline (old building)</t>
  </si>
  <si>
    <t>Tax Percentage +/- Compared to Baseline (old building)</t>
  </si>
  <si>
    <t>Education Taxes Due (old building)</t>
  </si>
  <si>
    <t xml:space="preserve">Notes: </t>
  </si>
  <si>
    <t>1/2 New Build Costs in 2036 w/2.5% annual escalation</t>
  </si>
  <si>
    <t>Baseline</t>
  </si>
  <si>
    <t>Ed Spend Adjustments (Staffing Change Due to Enrollment)</t>
  </si>
  <si>
    <t>Personnel Cost Per Every 15 Equalized Pupils</t>
  </si>
  <si>
    <t>.</t>
  </si>
  <si>
    <t>Annual Fundraising Amount</t>
  </si>
  <si>
    <t>State Match Percentage</t>
  </si>
  <si>
    <t>Total Building Campaign Private Funds Raised</t>
  </si>
  <si>
    <t>General Fundraising Begins</t>
  </si>
  <si>
    <t>Square Foot Price of New Build (minus soft costs)</t>
  </si>
  <si>
    <t>Ed Taxes- 
No Bond</t>
  </si>
  <si>
    <t>Ed Taxes
With Bond</t>
  </si>
  <si>
    <t>Impact of
Bond ($)</t>
  </si>
  <si>
    <t>Impact of
Bond (%)</t>
  </si>
  <si>
    <t>1st year of half price new build with 10 years inflation</t>
  </si>
  <si>
    <t xml:space="preserve">Amount of Bond Debt Service to be Paid by Taxes  </t>
  </si>
  <si>
    <t>Contribution from Fundraising/Capital Reserve</t>
  </si>
  <si>
    <t>FY25 Property Yield</t>
  </si>
  <si>
    <t>FY25 Income Yield</t>
  </si>
  <si>
    <t>FY25 Education Spending</t>
  </si>
  <si>
    <t>Year 1 New LTW ADM</t>
  </si>
  <si>
    <t>Annual Increase in LTW ADM</t>
  </si>
  <si>
    <t>Inflation Reduction Act Credits for Geo &amp; Solar</t>
  </si>
  <si>
    <t>Act 127 Capital Debt Capacity Secured</t>
  </si>
  <si>
    <t>Total Up Front Credits</t>
  </si>
  <si>
    <t>Contribution from Up-Front Credits</t>
  </si>
  <si>
    <t>Up-Front Credits</t>
  </si>
  <si>
    <t>FY28   (Year 1)</t>
  </si>
  <si>
    <t>FY32   (Year 5)</t>
  </si>
  <si>
    <t>FY42   (Year 15)</t>
  </si>
  <si>
    <t>FY47   (Year 20)</t>
  </si>
  <si>
    <t>FY52   (Year 25)</t>
  </si>
  <si>
    <t>FY57   (Year 30)</t>
  </si>
  <si>
    <t xml:space="preserve"> - District enrollment capped at 1300 to 2000 LTW ADM</t>
  </si>
  <si>
    <t xml:space="preserve"> - Flat enrollment assumed until FY27, the planned first year of the new build or next major project at the old building</t>
  </si>
  <si>
    <t>FY24 to FY27</t>
  </si>
  <si>
    <t>For Property Tax Calc Tab</t>
  </si>
  <si>
    <t>For Prebate Tab</t>
  </si>
  <si>
    <t>FY29   (Year 2)</t>
  </si>
  <si>
    <t>FY30   (Year 3)</t>
  </si>
  <si>
    <t>FY31   (Year 4)</t>
  </si>
  <si>
    <t>FY37   (Year 10)</t>
  </si>
  <si>
    <t>per month, or</t>
  </si>
  <si>
    <t>Home is</t>
  </si>
  <si>
    <t>per year, or</t>
  </si>
  <si>
    <t xml:space="preserve">Household Income = </t>
  </si>
  <si>
    <t>per day if income sensitized</t>
  </si>
  <si>
    <t>Barnard</t>
  </si>
  <si>
    <t>Bridgewater</t>
  </si>
  <si>
    <t>per day (in 2025 dollars), or</t>
  </si>
  <si>
    <t>Repayment Term</t>
  </si>
  <si>
    <t>Year 1 Enrollment Change</t>
  </si>
  <si>
    <t>Annual Enrollment Change</t>
  </si>
  <si>
    <t xml:space="preserve">Enter amount of bond.  e.g. $99M, $75M, $110M </t>
  </si>
  <si>
    <t>Enter interest rate of bond. e.g. 3.75%, 4.25%, 3.25%</t>
  </si>
  <si>
    <t>Enter duration of bond. e.g. 30, 40, or 25 years</t>
  </si>
  <si>
    <t>Enter change (+/-) in students for school year 2026</t>
  </si>
  <si>
    <t>Enter change (+/-) in students for each school year thereafter</t>
  </si>
  <si>
    <t xml:space="preserve">For Property Fair Market Value = </t>
  </si>
  <si>
    <t>Assumptions</t>
  </si>
  <si>
    <t>Instructions for each Assumption</t>
  </si>
  <si>
    <r>
      <t xml:space="preserve">Enter amount </t>
    </r>
    <r>
      <rPr>
        <b/>
        <i/>
        <sz val="11"/>
        <color theme="1"/>
        <rFont val="Calibri"/>
        <family val="2"/>
        <scheme val="minor"/>
      </rPr>
      <t>over $3.5M</t>
    </r>
    <r>
      <rPr>
        <i/>
        <sz val="11"/>
        <color theme="1"/>
        <rFont val="Calibri"/>
        <family val="2"/>
        <scheme val="minor"/>
      </rPr>
      <t xml:space="preserve"> raised in private funding</t>
    </r>
  </si>
  <si>
    <t>For Income Above $90k (No Bond)</t>
  </si>
  <si>
    <t xml:space="preserve">For Income Between $47k and $90k (No Bond) </t>
  </si>
  <si>
    <t>For Income Below $47k (No Bond)</t>
  </si>
  <si>
    <t>Applicable Education Tax Credit (No Bond)</t>
  </si>
  <si>
    <t>Income-Sensitized Homeowner</t>
  </si>
  <si>
    <r>
      <t xml:space="preserve">1) Enter Grand List Value Here </t>
    </r>
    <r>
      <rPr>
        <b/>
        <sz val="12"/>
        <color theme="1"/>
        <rFont val="Wingdings 3"/>
        <family val="1"/>
        <charset val="2"/>
      </rPr>
      <t>i</t>
    </r>
  </si>
  <si>
    <r>
      <t xml:space="preserve">  2) Select Town       from this Dropdown  </t>
    </r>
    <r>
      <rPr>
        <b/>
        <sz val="12"/>
        <color theme="1"/>
        <rFont val="Wingdings 3"/>
        <family val="1"/>
        <charset val="2"/>
      </rPr>
      <t>i</t>
    </r>
    <r>
      <rPr>
        <b/>
        <sz val="12"/>
        <color theme="1"/>
        <rFont val="Calibri"/>
        <family val="2"/>
        <scheme val="minor"/>
      </rPr>
      <t xml:space="preserve">    </t>
    </r>
  </si>
  <si>
    <r>
      <t xml:space="preserve">3) Enter Household Income Here </t>
    </r>
    <r>
      <rPr>
        <b/>
        <sz val="12"/>
        <color theme="1"/>
        <rFont val="Wingdings 3"/>
        <family val="1"/>
        <charset val="2"/>
      </rPr>
      <t>i</t>
    </r>
  </si>
  <si>
    <t>New Fundraising + $3.5M Already Pledged</t>
  </si>
  <si>
    <t xml:space="preserve"> Homeowner Paying Based on Property Value</t>
  </si>
  <si>
    <r>
      <t xml:space="preserve">Fair Market Value (GLV </t>
    </r>
    <r>
      <rPr>
        <b/>
        <sz val="11"/>
        <color theme="1"/>
        <rFont val="Calibri"/>
        <family val="2"/>
      </rPr>
      <t>÷</t>
    </r>
    <r>
      <rPr>
        <b/>
        <i/>
        <sz val="11"/>
        <color theme="1"/>
        <rFont val="Calibri"/>
        <family val="2"/>
      </rPr>
      <t xml:space="preserve"> Town CLA</t>
    </r>
    <r>
      <rPr>
        <b/>
        <i/>
        <sz val="11"/>
        <color theme="1"/>
        <rFont val="Calibri"/>
        <family val="2"/>
        <scheme val="minor"/>
      </rPr>
      <t>)</t>
    </r>
  </si>
  <si>
    <r>
      <t xml:space="preserve">Instructions:
</t>
    </r>
    <r>
      <rPr>
        <i/>
        <sz val="12"/>
        <color theme="1"/>
        <rFont val="Calibri"/>
        <family val="2"/>
        <scheme val="minor"/>
      </rPr>
      <t>- In the blue boxes to the right: 1) Enter Grand List Value and 2) Select Town to calculate Fair Market Value. Also 3) Enter Household Income</t>
    </r>
    <r>
      <rPr>
        <b/>
        <i/>
        <sz val="12"/>
        <color theme="1"/>
        <rFont val="Calibri"/>
        <family val="2"/>
        <scheme val="minor"/>
      </rPr>
      <t xml:space="preserve">
</t>
    </r>
    <r>
      <rPr>
        <i/>
        <sz val="12"/>
        <color theme="1"/>
        <rFont val="Calibri"/>
        <family val="2"/>
        <scheme val="minor"/>
      </rPr>
      <t xml:space="preserve">- Ed Taxes due with and without the bond appear in the columns to the left, comparing Property Value Taxpayers and Income-Sensitized Taxpayers
-  Peak bond impact appears below in annual, monthly, and daily amounts </t>
    </r>
    <r>
      <rPr>
        <b/>
        <i/>
        <sz val="12"/>
        <color theme="1"/>
        <rFont val="Calibri"/>
        <family val="2"/>
        <scheme val="minor"/>
      </rPr>
      <t xml:space="preserve">
</t>
    </r>
    <r>
      <rPr>
        <i/>
        <sz val="12"/>
        <color theme="1"/>
        <rFont val="Calibri"/>
        <family val="2"/>
        <scheme val="minor"/>
      </rPr>
      <t>- Enter values for the various items in the "Assumptions" box below to see their effect on the amount of taxes due</t>
    </r>
  </si>
  <si>
    <t xml:space="preserve">   CLA    =</t>
  </si>
  <si>
    <t>Municipal Tax Rate - (Need to add multi-town functionality)</t>
  </si>
  <si>
    <r>
      <t xml:space="preserve"> </t>
    </r>
    <r>
      <rPr>
        <b/>
        <i/>
        <sz val="16"/>
        <color theme="1"/>
        <rFont val="Calibri"/>
        <family val="2"/>
        <scheme val="minor"/>
      </rPr>
      <t xml:space="preserve">Peak </t>
    </r>
    <r>
      <rPr>
        <b/>
        <sz val="16"/>
        <color theme="1"/>
        <rFont val="Calibri"/>
        <family val="2"/>
        <scheme val="minor"/>
      </rPr>
      <t xml:space="preserve">Tax Impact (Year 2) on 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</si>
</sst>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 #,##0.0000_);_(* \(#,##0.0000\);_(* &quot;-&quot;??_);_(@_)"/>
    <numFmt numFmtId="166" formatCode="[$-409]mmmm\ d\,\ yyyy;@"/>
    <numFmt numFmtId="167" formatCode="_(* #,##0.000_);_(* \(#,##0.000\);_(* &quot;-&quot;??_);_(@_)"/>
    <numFmt numFmtId="168" formatCode="_(&quot;$&quot;* #,##0_);_(&quot;$&quot;* \(#,##0\);_(&quot;$&quot;* &quot;-&quot;??_);_(@_)"/>
    <numFmt numFmtId="169" formatCode="&quot;$&quot;#,##0.00"/>
    <numFmt numFmtId="170" formatCode="&quot;$&quot;#,##0"/>
    <numFmt numFmtId="171" formatCode="0.0000"/>
    <numFmt numFmtId="172" formatCode="&quot;$&quot;#,##0.0000_);[Red]\(&quot;$&quot;#,##0.0000\)"/>
    <numFmt numFmtId="173" formatCode="0.0%"/>
    <numFmt numFmtId="174" formatCode="_(&quot;$&quot;* #,##0.000_);_(&quot;$&quot;* \(#,##0.000\);_(&quot;$&quot;* &quot;-&quot;???_);_(@_)"/>
    <numFmt numFmtId="175" formatCode="&quot;$&quot;#,##0.0000"/>
  </numFmts>
  <fonts count="3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1"/>
      <color rgb="FFFF0000"/>
      <name val="Calibri"/>
      <family val="2"/>
      <scheme val="minor"/>
    </font>
    <font>
      <b/>
      <u/>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sz val="11"/>
      <name val="Calibri"/>
      <family val="2"/>
      <scheme val="minor"/>
    </font>
    <font>
      <b/>
      <sz val="11"/>
      <color theme="0"/>
      <name val="Calibri"/>
      <family val="2"/>
      <scheme val="minor"/>
    </font>
    <font>
      <b/>
      <sz val="11"/>
      <name val="Calibri"/>
      <family val="2"/>
      <scheme val="minor"/>
    </font>
    <font>
      <b/>
      <u/>
      <sz val="11"/>
      <name val="Calibri"/>
      <family val="2"/>
      <scheme val="minor"/>
    </font>
    <font>
      <b/>
      <sz val="12"/>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i/>
      <sz val="15"/>
      <color theme="1"/>
      <name val="Calibri"/>
      <family val="2"/>
      <scheme val="minor"/>
    </font>
    <font>
      <i/>
      <sz val="15"/>
      <color theme="1"/>
      <name val="Calibri"/>
      <family val="2"/>
      <scheme val="minor"/>
    </font>
    <font>
      <b/>
      <sz val="15"/>
      <color theme="1"/>
      <name val="Calibri"/>
      <family val="2"/>
      <scheme val="minor"/>
    </font>
    <font>
      <sz val="16"/>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b/>
      <i/>
      <sz val="16"/>
      <color theme="1"/>
      <name val="Calibri"/>
      <family val="2"/>
      <scheme val="minor"/>
    </font>
    <font>
      <b/>
      <sz val="12"/>
      <color theme="1"/>
      <name val="Wingdings 3"/>
      <family val="1"/>
      <charset val="2"/>
    </font>
    <font>
      <b/>
      <i/>
      <sz val="14"/>
      <color theme="1"/>
      <name val="Calibri"/>
      <family val="2"/>
      <scheme val="minor"/>
    </font>
    <font>
      <b/>
      <sz val="11"/>
      <color theme="1"/>
      <name val="Calibri"/>
      <family val="2"/>
    </font>
    <font>
      <b/>
      <i/>
      <sz val="11"/>
      <color theme="1"/>
      <name val="Calibri"/>
      <family val="2"/>
    </font>
  </fonts>
  <fills count="1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FF2DA"/>
        <bgColor indexed="64"/>
      </patternFill>
    </fill>
    <fill>
      <patternFill patternType="solid">
        <fgColor theme="9" tint="0.79998168889431442"/>
        <bgColor indexed="64"/>
      </patternFill>
    </fill>
  </fills>
  <borders count="36">
    <border>
      <left/>
      <right/>
      <top/>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right/>
      <top style="medium">
        <color indexed="64"/>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style="thin">
        <color auto="1"/>
      </bottom>
      <diagonal/>
    </border>
    <border>
      <left style="medium">
        <color auto="1"/>
      </left>
      <right/>
      <top style="thin">
        <color auto="1"/>
      </top>
      <bottom/>
      <diagonal/>
    </border>
    <border>
      <left style="thin">
        <color auto="1"/>
      </left>
      <right/>
      <top/>
      <bottom/>
      <diagonal/>
    </border>
    <border>
      <left style="thin">
        <color auto="1"/>
      </left>
      <right/>
      <top/>
      <bottom style="medium">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99">
    <xf numFmtId="0" fontId="0" fillId="0" borderId="0" xfId="0"/>
    <xf numFmtId="43" fontId="0" fillId="0" borderId="0" xfId="1" applyFont="1"/>
    <xf numFmtId="164" fontId="0" fillId="0" borderId="0" xfId="1" applyNumberFormat="1" applyFont="1"/>
    <xf numFmtId="10" fontId="0" fillId="0" borderId="0" xfId="2" applyNumberFormat="1" applyFont="1"/>
    <xf numFmtId="164" fontId="0" fillId="0" borderId="0" xfId="0" applyNumberFormat="1"/>
    <xf numFmtId="165" fontId="0" fillId="0" borderId="0" xfId="1" applyNumberFormat="1" applyFont="1"/>
    <xf numFmtId="165" fontId="0" fillId="0" borderId="0" xfId="1" applyNumberFormat="1" applyFont="1" applyBorder="1"/>
    <xf numFmtId="165" fontId="0" fillId="0" borderId="0" xfId="1" applyNumberFormat="1" applyFont="1" applyAlignment="1">
      <alignment horizontal="center"/>
    </xf>
    <xf numFmtId="164" fontId="0" fillId="2" borderId="0" xfId="1" applyNumberFormat="1" applyFont="1" applyFill="1"/>
    <xf numFmtId="0" fontId="0" fillId="0" borderId="0" xfId="0" applyFill="1"/>
    <xf numFmtId="164" fontId="0" fillId="0" borderId="0" xfId="1" applyNumberFormat="1" applyFont="1" applyFill="1"/>
    <xf numFmtId="0" fontId="0" fillId="0" borderId="0" xfId="0" applyBorder="1"/>
    <xf numFmtId="164" fontId="0" fillId="0" borderId="0" xfId="1" applyNumberFormat="1" applyFont="1" applyBorder="1"/>
    <xf numFmtId="0" fontId="0" fillId="0" borderId="1" xfId="0" applyBorder="1"/>
    <xf numFmtId="164" fontId="0" fillId="0" borderId="1" xfId="1" applyNumberFormat="1" applyFont="1" applyBorder="1"/>
    <xf numFmtId="165" fontId="0" fillId="0" borderId="0" xfId="1" applyNumberFormat="1" applyFont="1" applyAlignment="1"/>
    <xf numFmtId="164" fontId="0" fillId="0" borderId="0" xfId="1" applyNumberFormat="1" applyFont="1" applyBorder="1" applyAlignment="1"/>
    <xf numFmtId="165" fontId="0" fillId="0" borderId="1" xfId="1" applyNumberFormat="1" applyFont="1" applyBorder="1" applyAlignment="1"/>
    <xf numFmtId="0" fontId="0" fillId="0" borderId="0" xfId="0" applyAlignment="1">
      <alignment horizontal="center"/>
    </xf>
    <xf numFmtId="10" fontId="0" fillId="0" borderId="0" xfId="0" applyNumberFormat="1"/>
    <xf numFmtId="166" fontId="0" fillId="0" borderId="0" xfId="0" applyNumberFormat="1" applyAlignment="1">
      <alignment horizontal="left"/>
    </xf>
    <xf numFmtId="43" fontId="0" fillId="0" borderId="0" xfId="1" applyNumberFormat="1" applyFont="1"/>
    <xf numFmtId="164" fontId="0" fillId="0" borderId="0" xfId="0" applyNumberFormat="1" applyAlignment="1">
      <alignment horizontal="center"/>
    </xf>
    <xf numFmtId="10" fontId="0" fillId="2" borderId="0" xfId="2" applyNumberFormat="1" applyFont="1" applyFill="1"/>
    <xf numFmtId="10" fontId="0" fillId="2" borderId="0" xfId="0" applyNumberFormat="1" applyFill="1"/>
    <xf numFmtId="10" fontId="0" fillId="0" borderId="0" xfId="2" applyNumberFormat="1" applyFont="1" applyFill="1"/>
    <xf numFmtId="164" fontId="4" fillId="3" borderId="0" xfId="1" applyNumberFormat="1" applyFont="1" applyFill="1"/>
    <xf numFmtId="0" fontId="4" fillId="0" borderId="0" xfId="0" applyFont="1"/>
    <xf numFmtId="43" fontId="0" fillId="0" borderId="0" xfId="1" applyFont="1" applyAlignment="1"/>
    <xf numFmtId="164" fontId="0" fillId="0" borderId="0" xfId="1" applyNumberFormat="1" applyFont="1" applyAlignment="1"/>
    <xf numFmtId="0" fontId="0" fillId="0" borderId="0" xfId="0" applyAlignment="1">
      <alignment horizontal="right"/>
    </xf>
    <xf numFmtId="0" fontId="6" fillId="0" borderId="0" xfId="0" applyFont="1" applyAlignment="1">
      <alignment horizontal="center"/>
    </xf>
    <xf numFmtId="44" fontId="0" fillId="0" borderId="0" xfId="3" applyFont="1"/>
    <xf numFmtId="167" fontId="0" fillId="0" borderId="0" xfId="1" applyNumberFormat="1" applyFont="1"/>
    <xf numFmtId="168" fontId="0" fillId="0" borderId="0" xfId="3" applyNumberFormat="1" applyFont="1"/>
    <xf numFmtId="0" fontId="5" fillId="0" borderId="0" xfId="0" applyFont="1" applyAlignment="1">
      <alignment horizontal="right"/>
    </xf>
    <xf numFmtId="10" fontId="5" fillId="0" borderId="0" xfId="2" applyNumberFormat="1" applyFont="1"/>
    <xf numFmtId="168" fontId="5" fillId="0" borderId="0" xfId="3" applyNumberFormat="1" applyFont="1"/>
    <xf numFmtId="167" fontId="4" fillId="0" borderId="0" xfId="1" applyNumberFormat="1" applyFont="1"/>
    <xf numFmtId="10" fontId="4" fillId="0" borderId="0" xfId="0" applyNumberFormat="1" applyFont="1" applyAlignment="1">
      <alignment horizontal="right"/>
    </xf>
    <xf numFmtId="0" fontId="7" fillId="0" borderId="0" xfId="0" applyFont="1"/>
    <xf numFmtId="169" fontId="0" fillId="0" borderId="0" xfId="0" applyNumberFormat="1"/>
    <xf numFmtId="0" fontId="6" fillId="0" borderId="0" xfId="0" applyFont="1"/>
    <xf numFmtId="44" fontId="0" fillId="0" borderId="0" xfId="0" applyNumberFormat="1"/>
    <xf numFmtId="44" fontId="7" fillId="0" borderId="0" xfId="0" applyNumberFormat="1" applyFont="1"/>
    <xf numFmtId="0" fontId="0" fillId="0" borderId="0" xfId="0" applyAlignment="1">
      <alignment vertical="center"/>
    </xf>
    <xf numFmtId="43" fontId="0" fillId="0" borderId="0" xfId="0" applyNumberFormat="1"/>
    <xf numFmtId="0" fontId="8" fillId="0" borderId="0" xfId="0" applyFont="1" applyAlignment="1">
      <alignment horizontal="center"/>
    </xf>
    <xf numFmtId="7" fontId="0" fillId="0" borderId="0" xfId="0" applyNumberFormat="1"/>
    <xf numFmtId="10" fontId="7" fillId="0" borderId="0" xfId="0" applyNumberFormat="1" applyFont="1" applyAlignment="1">
      <alignment vertical="center"/>
    </xf>
    <xf numFmtId="0" fontId="7" fillId="0" borderId="0" xfId="0" applyFont="1" applyAlignment="1">
      <alignment vertical="center"/>
    </xf>
    <xf numFmtId="43" fontId="7" fillId="0" borderId="0" xfId="0" applyNumberFormat="1" applyFont="1"/>
    <xf numFmtId="0" fontId="9" fillId="0" borderId="0" xfId="0" applyFont="1"/>
    <xf numFmtId="0" fontId="10" fillId="0" borderId="0" xfId="0" applyFont="1"/>
    <xf numFmtId="170" fontId="0" fillId="0" borderId="0" xfId="0" applyNumberFormat="1"/>
    <xf numFmtId="0" fontId="6" fillId="0" borderId="0" xfId="0" applyFont="1" applyAlignment="1" applyProtection="1">
      <alignment horizontal="center"/>
    </xf>
    <xf numFmtId="0" fontId="0" fillId="0" borderId="0" xfId="0" applyProtection="1"/>
    <xf numFmtId="170" fontId="0" fillId="0" borderId="0" xfId="0" applyNumberFormat="1" applyAlignment="1" applyProtection="1">
      <alignment vertical="center"/>
    </xf>
    <xf numFmtId="169" fontId="0" fillId="0" borderId="0" xfId="0" applyNumberFormat="1" applyAlignment="1" applyProtection="1">
      <alignment vertical="center"/>
    </xf>
    <xf numFmtId="10" fontId="0" fillId="0" borderId="0" xfId="0" applyNumberFormat="1" applyProtection="1"/>
    <xf numFmtId="169" fontId="0" fillId="0" borderId="0" xfId="0" applyNumberFormat="1" applyProtection="1"/>
    <xf numFmtId="7" fontId="0" fillId="0" borderId="0" xfId="0" applyNumberFormat="1" applyProtection="1"/>
    <xf numFmtId="169" fontId="0" fillId="0" borderId="0" xfId="0" applyNumberFormat="1" applyAlignment="1" applyProtection="1">
      <alignment horizontal="right"/>
    </xf>
    <xf numFmtId="169" fontId="0" fillId="4" borderId="0" xfId="0" applyNumberFormat="1" applyFont="1" applyFill="1" applyAlignment="1" applyProtection="1">
      <alignment horizontal="right"/>
      <protection locked="0"/>
    </xf>
    <xf numFmtId="7" fontId="7" fillId="0" borderId="0" xfId="0" applyNumberFormat="1" applyFont="1" applyProtection="1">
      <protection locked="0"/>
    </xf>
    <xf numFmtId="171" fontId="0" fillId="0" borderId="0" xfId="0" applyNumberFormat="1" applyProtection="1"/>
    <xf numFmtId="171" fontId="0" fillId="0" borderId="0" xfId="0" applyNumberFormat="1" applyAlignment="1" applyProtection="1">
      <alignment vertical="center"/>
    </xf>
    <xf numFmtId="2" fontId="7" fillId="0" borderId="0" xfId="0" applyNumberFormat="1" applyFont="1" applyAlignment="1">
      <alignment vertical="center"/>
    </xf>
    <xf numFmtId="10" fontId="7" fillId="0" borderId="0" xfId="0" applyNumberFormat="1" applyFont="1"/>
    <xf numFmtId="37" fontId="7" fillId="0" borderId="0" xfId="0" applyNumberFormat="1" applyFont="1" applyAlignment="1">
      <alignment vertical="center"/>
    </xf>
    <xf numFmtId="37" fontId="12" fillId="4" borderId="0" xfId="0" applyNumberFormat="1" applyFont="1" applyFill="1" applyProtection="1">
      <protection locked="0"/>
    </xf>
    <xf numFmtId="0" fontId="0" fillId="0" borderId="0" xfId="0" applyFont="1" applyProtection="1"/>
    <xf numFmtId="7" fontId="7" fillId="0" borderId="0" xfId="0" applyNumberFormat="1" applyFont="1" applyAlignment="1">
      <alignment vertical="center"/>
    </xf>
    <xf numFmtId="171" fontId="0" fillId="0" borderId="0" xfId="1" applyNumberFormat="1" applyFont="1"/>
    <xf numFmtId="44" fontId="0" fillId="0" borderId="0" xfId="1" applyNumberFormat="1" applyFont="1"/>
    <xf numFmtId="44" fontId="0" fillId="0" borderId="0" xfId="1" applyNumberFormat="1" applyFont="1" applyFill="1"/>
    <xf numFmtId="0" fontId="4" fillId="0" borderId="0" xfId="0" applyFont="1" applyAlignment="1">
      <alignment horizontal="center"/>
    </xf>
    <xf numFmtId="0" fontId="4" fillId="0" borderId="1" xfId="0" applyFont="1" applyBorder="1"/>
    <xf numFmtId="164" fontId="4" fillId="0" borderId="1" xfId="1" applyNumberFormat="1" applyFont="1" applyBorder="1"/>
    <xf numFmtId="8" fontId="0" fillId="0" borderId="0" xfId="0" applyNumberFormat="1"/>
    <xf numFmtId="8" fontId="7" fillId="0" borderId="0" xfId="0" applyNumberFormat="1" applyFont="1"/>
    <xf numFmtId="172" fontId="0" fillId="0" borderId="0" xfId="0" applyNumberFormat="1"/>
    <xf numFmtId="39" fontId="0" fillId="0" borderId="0" xfId="1" applyNumberFormat="1" applyFont="1"/>
    <xf numFmtId="44" fontId="12" fillId="5" borderId="0" xfId="0" applyNumberFormat="1" applyFont="1" applyFill="1" applyProtection="1">
      <protection locked="0"/>
    </xf>
    <xf numFmtId="49" fontId="4" fillId="0" borderId="0" xfId="0" applyNumberFormat="1" applyFont="1" applyAlignment="1">
      <alignment horizontal="right"/>
    </xf>
    <xf numFmtId="37" fontId="0" fillId="0" borderId="0" xfId="1" applyNumberFormat="1" applyFont="1"/>
    <xf numFmtId="7" fontId="7" fillId="0" borderId="0" xfId="0" applyNumberFormat="1" applyFont="1" applyProtection="1"/>
    <xf numFmtId="164" fontId="4" fillId="0" borderId="0" xfId="1" applyNumberFormat="1" applyFont="1" applyBorder="1" applyAlignment="1">
      <alignment horizontal="center"/>
    </xf>
    <xf numFmtId="9" fontId="0" fillId="0" borderId="0" xfId="0" quotePrefix="1" applyNumberFormat="1" applyAlignment="1">
      <alignment horizontal="center"/>
    </xf>
    <xf numFmtId="0" fontId="4" fillId="0" borderId="0" xfId="0" applyFont="1" applyAlignment="1">
      <alignment horizontal="center"/>
    </xf>
    <xf numFmtId="164" fontId="4" fillId="0" borderId="0" xfId="1" applyNumberFormat="1" applyFont="1" applyBorder="1"/>
    <xf numFmtId="10" fontId="4" fillId="6" borderId="0" xfId="0" applyNumberFormat="1" applyFont="1" applyFill="1" applyProtection="1"/>
    <xf numFmtId="173" fontId="0" fillId="4" borderId="0" xfId="0" applyNumberFormat="1" applyFill="1"/>
    <xf numFmtId="0" fontId="0" fillId="4" borderId="0" xfId="0" applyFill="1"/>
    <xf numFmtId="0" fontId="0" fillId="0" borderId="0" xfId="0" applyAlignment="1"/>
    <xf numFmtId="10" fontId="12" fillId="0" borderId="0" xfId="0" applyNumberFormat="1" applyFont="1"/>
    <xf numFmtId="37" fontId="7" fillId="0" borderId="0" xfId="0" applyNumberFormat="1" applyFont="1" applyFill="1" applyAlignment="1">
      <alignment vertical="center"/>
    </xf>
    <xf numFmtId="10" fontId="7" fillId="0" borderId="0" xfId="0" applyNumberFormat="1" applyFont="1" applyFill="1"/>
    <xf numFmtId="7" fontId="12" fillId="0" borderId="0" xfId="0" applyNumberFormat="1" applyFont="1" applyFill="1" applyProtection="1"/>
    <xf numFmtId="37" fontId="12" fillId="0" borderId="0" xfId="0" applyNumberFormat="1" applyFont="1" applyFill="1" applyProtection="1"/>
    <xf numFmtId="1" fontId="7" fillId="0" borderId="0" xfId="0" applyNumberFormat="1" applyFont="1" applyAlignment="1">
      <alignment vertical="center"/>
    </xf>
    <xf numFmtId="1" fontId="0" fillId="0" borderId="0" xfId="0" applyNumberFormat="1"/>
    <xf numFmtId="0" fontId="12" fillId="0" borderId="0" xfId="0" applyFont="1"/>
    <xf numFmtId="0" fontId="15" fillId="0" borderId="0" xfId="0" applyFont="1" applyAlignment="1">
      <alignment horizontal="center"/>
    </xf>
    <xf numFmtId="169" fontId="12" fillId="0" borderId="0" xfId="0" applyNumberFormat="1" applyFont="1"/>
    <xf numFmtId="8" fontId="12" fillId="0" borderId="0" xfId="0" applyNumberFormat="1" applyFont="1"/>
    <xf numFmtId="0" fontId="12" fillId="0" borderId="0" xfId="0" applyFont="1" applyAlignment="1">
      <alignment vertical="center"/>
    </xf>
    <xf numFmtId="0" fontId="15" fillId="0" borderId="0" xfId="0" applyFont="1" applyAlignment="1" applyProtection="1">
      <alignment horizontal="center"/>
    </xf>
    <xf numFmtId="0" fontId="12" fillId="0" borderId="0" xfId="0" applyFont="1" applyProtection="1"/>
    <xf numFmtId="170" fontId="12" fillId="0" borderId="0" xfId="0" applyNumberFormat="1" applyFont="1" applyAlignment="1" applyProtection="1">
      <alignment vertical="center"/>
    </xf>
    <xf numFmtId="169" fontId="12" fillId="0" borderId="0" xfId="0" applyNumberFormat="1" applyFont="1" applyAlignment="1" applyProtection="1">
      <alignment vertical="center"/>
    </xf>
    <xf numFmtId="169" fontId="12" fillId="0" borderId="0" xfId="0" applyNumberFormat="1" applyFont="1" applyProtection="1"/>
    <xf numFmtId="7" fontId="12" fillId="0" borderId="0" xfId="0" applyNumberFormat="1" applyFont="1"/>
    <xf numFmtId="0" fontId="14" fillId="0" borderId="0" xfId="0" applyFont="1"/>
    <xf numFmtId="10" fontId="13" fillId="0" borderId="0" xfId="0" applyNumberFormat="1" applyFont="1"/>
    <xf numFmtId="2" fontId="13" fillId="0" borderId="0" xfId="0" applyNumberFormat="1" applyFont="1" applyAlignment="1">
      <alignment vertical="center"/>
    </xf>
    <xf numFmtId="0" fontId="0" fillId="0" borderId="0" xfId="0" applyFont="1"/>
    <xf numFmtId="1" fontId="14" fillId="0" borderId="6" xfId="0" applyNumberFormat="1" applyFont="1" applyFill="1" applyBorder="1" applyAlignment="1">
      <alignment horizontal="center"/>
    </xf>
    <xf numFmtId="1" fontId="14" fillId="0" borderId="6" xfId="0" applyNumberFormat="1" applyFont="1" applyBorder="1" applyAlignment="1">
      <alignment horizontal="center" vertical="center"/>
    </xf>
    <xf numFmtId="1" fontId="14" fillId="0" borderId="6" xfId="0" applyNumberFormat="1" applyFont="1" applyBorder="1" applyAlignment="1">
      <alignment horizontal="center"/>
    </xf>
    <xf numFmtId="0" fontId="14" fillId="0" borderId="6" xfId="0" applyFont="1" applyBorder="1" applyAlignment="1">
      <alignment horizontal="center"/>
    </xf>
    <xf numFmtId="44" fontId="12" fillId="0" borderId="0" xfId="0" applyNumberFormat="1" applyFont="1"/>
    <xf numFmtId="169" fontId="12" fillId="5" borderId="0" xfId="0" applyNumberFormat="1" applyFont="1" applyFill="1" applyProtection="1">
      <protection locked="0"/>
    </xf>
    <xf numFmtId="169" fontId="7" fillId="0" borderId="0" xfId="0" applyNumberFormat="1" applyFont="1"/>
    <xf numFmtId="169" fontId="7" fillId="0" borderId="0" xfId="0" applyNumberFormat="1" applyFont="1" applyAlignment="1">
      <alignment vertical="center"/>
    </xf>
    <xf numFmtId="1" fontId="7" fillId="0" borderId="0" xfId="0" applyNumberFormat="1" applyFont="1"/>
    <xf numFmtId="37" fontId="7" fillId="0" borderId="0" xfId="0" applyNumberFormat="1" applyFont="1"/>
    <xf numFmtId="1" fontId="0" fillId="0" borderId="0" xfId="0" applyNumberFormat="1" applyFill="1"/>
    <xf numFmtId="37" fontId="12" fillId="0" borderId="0" xfId="0" applyNumberFormat="1" applyFont="1" applyFill="1" applyProtection="1">
      <protection locked="0"/>
    </xf>
    <xf numFmtId="1" fontId="12" fillId="0" borderId="0" xfId="0" applyNumberFormat="1" applyFont="1" applyBorder="1" applyAlignment="1">
      <alignment horizontal="center"/>
    </xf>
    <xf numFmtId="0" fontId="12" fillId="0" borderId="0" xfId="0" applyFont="1" applyBorder="1" applyAlignment="1">
      <alignment horizontal="center"/>
    </xf>
    <xf numFmtId="44" fontId="12" fillId="0" borderId="0" xfId="0" applyNumberFormat="1" applyFont="1" applyFill="1" applyBorder="1" applyAlignment="1">
      <alignment horizontal="center"/>
    </xf>
    <xf numFmtId="44" fontId="12" fillId="0" borderId="0" xfId="0" applyNumberFormat="1" applyFont="1" applyBorder="1" applyAlignment="1">
      <alignment horizontal="center" vertical="center"/>
    </xf>
    <xf numFmtId="44" fontId="12" fillId="0" borderId="0" xfId="0" applyNumberFormat="1" applyFont="1" applyBorder="1" applyAlignment="1">
      <alignment horizontal="center"/>
    </xf>
    <xf numFmtId="172" fontId="7" fillId="0" borderId="0" xfId="0" applyNumberFormat="1" applyFont="1"/>
    <xf numFmtId="171" fontId="7" fillId="0" borderId="0" xfId="0" applyNumberFormat="1" applyFont="1" applyAlignment="1" applyProtection="1">
      <alignment vertical="center"/>
    </xf>
    <xf numFmtId="171" fontId="12" fillId="0" borderId="0" xfId="0" applyNumberFormat="1" applyFont="1" applyAlignment="1" applyProtection="1">
      <alignment vertical="center"/>
    </xf>
    <xf numFmtId="0" fontId="0" fillId="3" borderId="0" xfId="0" applyFill="1"/>
    <xf numFmtId="0" fontId="0" fillId="2" borderId="0" xfId="0" applyFill="1"/>
    <xf numFmtId="37" fontId="12" fillId="2" borderId="0" xfId="0" applyNumberFormat="1" applyFont="1" applyFill="1" applyProtection="1"/>
    <xf numFmtId="10" fontId="7" fillId="2" borderId="0" xfId="0" applyNumberFormat="1" applyFont="1" applyFill="1"/>
    <xf numFmtId="37" fontId="7" fillId="2" borderId="0" xfId="0" applyNumberFormat="1" applyFont="1" applyFill="1" applyAlignment="1">
      <alignment vertical="center"/>
    </xf>
    <xf numFmtId="0" fontId="7" fillId="2" borderId="0" xfId="0" applyFont="1" applyFill="1" applyAlignment="1">
      <alignment vertical="center"/>
    </xf>
    <xf numFmtId="8" fontId="12" fillId="2" borderId="0" xfId="0" applyNumberFormat="1" applyFont="1" applyFill="1"/>
    <xf numFmtId="44" fontId="12" fillId="2" borderId="0" xfId="0" applyNumberFormat="1" applyFont="1" applyFill="1"/>
    <xf numFmtId="0" fontId="4" fillId="2" borderId="0" xfId="0" applyFont="1" applyFill="1" applyAlignment="1">
      <alignment horizontal="center"/>
    </xf>
    <xf numFmtId="0" fontId="4" fillId="2" borderId="0" xfId="0" applyFont="1" applyFill="1"/>
    <xf numFmtId="0" fontId="6" fillId="2" borderId="0" xfId="0" applyFont="1" applyFill="1"/>
    <xf numFmtId="44" fontId="0" fillId="2" borderId="0" xfId="0" applyNumberFormat="1" applyFill="1"/>
    <xf numFmtId="0" fontId="0" fillId="2" borderId="0" xfId="0" applyFill="1" applyProtection="1"/>
    <xf numFmtId="0" fontId="11" fillId="2" borderId="0" xfId="0" applyFont="1" applyFill="1"/>
    <xf numFmtId="169" fontId="0" fillId="2" borderId="0" xfId="0" applyNumberFormat="1" applyFill="1" applyAlignment="1" applyProtection="1">
      <alignment horizontal="right"/>
    </xf>
    <xf numFmtId="3" fontId="0" fillId="7" borderId="0" xfId="0" applyNumberFormat="1" applyFont="1" applyFill="1" applyAlignment="1" applyProtection="1">
      <alignment horizontal="right"/>
      <protection locked="0"/>
    </xf>
    <xf numFmtId="10" fontId="0" fillId="7" borderId="0" xfId="0" applyNumberFormat="1" applyFont="1" applyFill="1" applyAlignment="1" applyProtection="1">
      <alignment horizontal="right"/>
      <protection locked="0"/>
    </xf>
    <xf numFmtId="169" fontId="0" fillId="7" borderId="0" xfId="0" applyNumberFormat="1" applyFont="1" applyFill="1" applyAlignment="1" applyProtection="1">
      <alignment horizontal="right"/>
      <protection locked="0"/>
    </xf>
    <xf numFmtId="2" fontId="0" fillId="0" borderId="0" xfId="0" applyNumberFormat="1" applyFill="1" applyAlignment="1" applyProtection="1"/>
    <xf numFmtId="6" fontId="0" fillId="0" borderId="0" xfId="0" applyNumberFormat="1"/>
    <xf numFmtId="7" fontId="0" fillId="0" borderId="0" xfId="1" applyNumberFormat="1" applyFont="1"/>
    <xf numFmtId="2" fontId="12" fillId="0" borderId="0" xfId="0" applyNumberFormat="1" applyFont="1"/>
    <xf numFmtId="2" fontId="0" fillId="0" borderId="0" xfId="0" applyNumberFormat="1" applyFill="1"/>
    <xf numFmtId="2" fontId="0" fillId="0" borderId="0" xfId="1" applyNumberFormat="1" applyFont="1"/>
    <xf numFmtId="10" fontId="0" fillId="0" borderId="0" xfId="0" applyNumberFormat="1" applyAlignment="1" applyProtection="1">
      <alignment vertical="center"/>
    </xf>
    <xf numFmtId="0" fontId="4" fillId="0" borderId="0" xfId="0" applyFont="1" applyFill="1"/>
    <xf numFmtId="10" fontId="4" fillId="8" borderId="0" xfId="0" applyNumberFormat="1" applyFont="1" applyFill="1" applyProtection="1"/>
    <xf numFmtId="0" fontId="4" fillId="0" borderId="0" xfId="0" applyFont="1" applyAlignment="1">
      <alignment horizontal="center"/>
    </xf>
    <xf numFmtId="0" fontId="17" fillId="0" borderId="0" xfId="0" applyFont="1"/>
    <xf numFmtId="0" fontId="4" fillId="0" borderId="0" xfId="0" applyFont="1" applyBorder="1"/>
    <xf numFmtId="169" fontId="0" fillId="0" borderId="0" xfId="1" applyNumberFormat="1" applyFont="1" applyAlignment="1">
      <alignment horizontal="left"/>
    </xf>
    <xf numFmtId="169" fontId="4" fillId="0" borderId="0" xfId="1" applyNumberFormat="1" applyFont="1" applyBorder="1" applyAlignment="1">
      <alignment horizontal="left"/>
    </xf>
    <xf numFmtId="169" fontId="0" fillId="0" borderId="0" xfId="0" applyNumberFormat="1" applyAlignment="1">
      <alignment horizontal="left"/>
    </xf>
    <xf numFmtId="0" fontId="4" fillId="0" borderId="0" xfId="0" applyFont="1" applyAlignment="1">
      <alignment horizontal="center"/>
    </xf>
    <xf numFmtId="164" fontId="4" fillId="0" borderId="0" xfId="1" applyNumberFormat="1" applyFont="1" applyBorder="1" applyAlignment="1">
      <alignment horizontal="center"/>
    </xf>
    <xf numFmtId="0" fontId="4" fillId="0" borderId="0" xfId="0" applyFont="1" applyAlignment="1">
      <alignment horizontal="center"/>
    </xf>
    <xf numFmtId="0" fontId="0" fillId="0" borderId="0" xfId="0" applyAlignment="1">
      <alignment horizontal="left"/>
    </xf>
    <xf numFmtId="164" fontId="4" fillId="0" borderId="1" xfId="1" applyNumberFormat="1" applyFont="1" applyBorder="1" applyAlignment="1">
      <alignment horizontal="left"/>
    </xf>
    <xf numFmtId="0" fontId="10" fillId="0" borderId="0" xfId="0" applyFont="1" applyAlignment="1">
      <alignment wrapText="1"/>
    </xf>
    <xf numFmtId="169" fontId="0" fillId="0" borderId="0" xfId="0" applyNumberFormat="1" applyFont="1"/>
    <xf numFmtId="0" fontId="0" fillId="0" borderId="7" xfId="0" applyBorder="1"/>
    <xf numFmtId="0" fontId="0" fillId="0" borderId="6" xfId="0" applyBorder="1" applyAlignment="1">
      <alignment horizontal="center"/>
    </xf>
    <xf numFmtId="164" fontId="0" fillId="0" borderId="6" xfId="1" applyNumberFormat="1" applyFont="1" applyBorder="1"/>
    <xf numFmtId="9" fontId="0" fillId="0" borderId="6" xfId="0" quotePrefix="1" applyNumberFormat="1" applyBorder="1" applyAlignment="1">
      <alignment horizontal="center"/>
    </xf>
    <xf numFmtId="0" fontId="0" fillId="0" borderId="0" xfId="0" applyBorder="1" applyAlignment="1">
      <alignment horizontal="center" vertical="center"/>
    </xf>
    <xf numFmtId="9" fontId="0" fillId="4" borderId="0" xfId="0" applyNumberFormat="1" applyFont="1" applyFill="1" applyAlignment="1" applyProtection="1">
      <alignment horizontal="right"/>
      <protection locked="0"/>
    </xf>
    <xf numFmtId="1" fontId="14" fillId="0" borderId="0" xfId="0" applyNumberFormat="1" applyFont="1" applyFill="1" applyBorder="1" applyAlignment="1">
      <alignment horizontal="center"/>
    </xf>
    <xf numFmtId="1" fontId="14" fillId="0" borderId="0" xfId="0" applyNumberFormat="1" applyFont="1" applyBorder="1" applyAlignment="1">
      <alignment horizontal="center" vertical="center"/>
    </xf>
    <xf numFmtId="5" fontId="12" fillId="0" borderId="0" xfId="0" applyNumberFormat="1" applyFont="1" applyFill="1" applyProtection="1">
      <protection locked="0"/>
    </xf>
    <xf numFmtId="0" fontId="4" fillId="0" borderId="0" xfId="0" applyFont="1" applyAlignment="1">
      <alignment horizontal="center"/>
    </xf>
    <xf numFmtId="0" fontId="4" fillId="0" borderId="14" xfId="0" applyFont="1" applyBorder="1"/>
    <xf numFmtId="0" fontId="4" fillId="0" borderId="15" xfId="0" applyFont="1" applyBorder="1"/>
    <xf numFmtId="0" fontId="4" fillId="0" borderId="13" xfId="0" applyFont="1" applyBorder="1"/>
    <xf numFmtId="0" fontId="4" fillId="0" borderId="8" xfId="0" applyFont="1" applyBorder="1" applyAlignment="1">
      <alignment horizontal="center" vertical="center"/>
    </xf>
    <xf numFmtId="10" fontId="0" fillId="8" borderId="0" xfId="0" applyNumberFormat="1" applyFill="1" applyProtection="1"/>
    <xf numFmtId="0" fontId="4" fillId="0" borderId="0" xfId="0" applyFont="1" applyAlignment="1">
      <alignment horizontal="center"/>
    </xf>
    <xf numFmtId="174" fontId="0" fillId="0" borderId="0" xfId="0" applyNumberFormat="1"/>
    <xf numFmtId="169" fontId="5" fillId="0" borderId="0" xfId="0" applyNumberFormat="1" applyFont="1" applyAlignment="1">
      <alignment vertical="center"/>
    </xf>
    <xf numFmtId="8" fontId="0" fillId="8" borderId="0" xfId="0" applyNumberFormat="1" applyFill="1"/>
    <xf numFmtId="2" fontId="7" fillId="0" borderId="0" xfId="0" applyNumberFormat="1" applyFont="1" applyAlignment="1">
      <alignment vertical="center"/>
    </xf>
    <xf numFmtId="10" fontId="7" fillId="0" borderId="0" xfId="0" applyNumberFormat="1" applyFont="1"/>
    <xf numFmtId="172" fontId="0" fillId="0" borderId="0" xfId="0" applyNumberFormat="1"/>
    <xf numFmtId="37" fontId="12" fillId="0" borderId="0" xfId="0" applyNumberFormat="1" applyFont="1" applyFill="1" applyProtection="1"/>
    <xf numFmtId="0" fontId="0" fillId="0" borderId="0" xfId="0" applyFont="1"/>
    <xf numFmtId="44" fontId="12" fillId="0" borderId="0" xfId="0" applyNumberFormat="1" applyFont="1"/>
    <xf numFmtId="37" fontId="12" fillId="0" borderId="0" xfId="0" applyNumberFormat="1" applyFont="1" applyFill="1" applyProtection="1">
      <protection locked="0"/>
    </xf>
    <xf numFmtId="44" fontId="12" fillId="0" borderId="0" xfId="0" applyNumberFormat="1" applyFont="1" applyBorder="1" applyAlignment="1">
      <alignment horizontal="center" vertical="center"/>
    </xf>
    <xf numFmtId="44" fontId="12" fillId="0" borderId="0" xfId="0" applyNumberFormat="1" applyFont="1" applyBorder="1" applyAlignment="1">
      <alignment horizontal="center"/>
    </xf>
    <xf numFmtId="7" fontId="12" fillId="5" borderId="0" xfId="0" applyNumberFormat="1" applyFont="1" applyFill="1" applyProtection="1">
      <protection locked="0"/>
    </xf>
    <xf numFmtId="2" fontId="0" fillId="0" borderId="0" xfId="1" applyNumberFormat="1" applyFont="1"/>
    <xf numFmtId="169" fontId="0" fillId="0" borderId="0" xfId="0" applyNumberFormat="1" applyFont="1"/>
    <xf numFmtId="0" fontId="0" fillId="0" borderId="0" xfId="0" applyAlignment="1">
      <alignment vertical="center"/>
    </xf>
    <xf numFmtId="0" fontId="0" fillId="0" borderId="0" xfId="0" applyBorder="1" applyAlignment="1">
      <alignment horizontal="center" vertical="center"/>
    </xf>
    <xf numFmtId="5" fontId="0" fillId="0" borderId="13" xfId="0" applyNumberFormat="1" applyFont="1" applyBorder="1" applyAlignment="1">
      <alignment vertical="center"/>
    </xf>
    <xf numFmtId="5" fontId="0" fillId="0" borderId="14" xfId="0" applyNumberFormat="1" applyFont="1" applyBorder="1" applyAlignment="1">
      <alignment vertical="center"/>
    </xf>
    <xf numFmtId="5" fontId="0" fillId="0" borderId="14" xfId="0" applyNumberFormat="1" applyFont="1" applyBorder="1"/>
    <xf numFmtId="5" fontId="0" fillId="0" borderId="15" xfId="0" applyNumberFormat="1" applyFont="1" applyBorder="1"/>
    <xf numFmtId="5" fontId="0" fillId="0" borderId="15" xfId="0" applyNumberFormat="1" applyFont="1" applyBorder="1" applyAlignment="1">
      <alignment vertical="center"/>
    </xf>
    <xf numFmtId="0" fontId="4" fillId="0" borderId="8" xfId="0" applyFont="1" applyBorder="1" applyAlignment="1">
      <alignment horizontal="center" vertical="center" wrapText="1"/>
    </xf>
    <xf numFmtId="170" fontId="0" fillId="0" borderId="0" xfId="0" applyNumberFormat="1" applyFont="1" applyFill="1" applyAlignment="1" applyProtection="1">
      <alignment horizontal="right"/>
      <protection locked="0"/>
    </xf>
    <xf numFmtId="170" fontId="0" fillId="7" borderId="0" xfId="0" applyNumberFormat="1" applyFill="1" applyProtection="1">
      <protection locked="0"/>
    </xf>
    <xf numFmtId="0" fontId="4" fillId="5" borderId="9" xfId="0" applyFont="1" applyFill="1" applyBorder="1" applyAlignment="1">
      <alignment horizontal="center"/>
    </xf>
    <xf numFmtId="0" fontId="4" fillId="5" borderId="0" xfId="0" applyFont="1" applyFill="1" applyBorder="1" applyAlignment="1">
      <alignment horizontal="center"/>
    </xf>
    <xf numFmtId="0" fontId="4" fillId="5" borderId="10" xfId="0" applyFont="1" applyFill="1" applyBorder="1" applyAlignment="1">
      <alignment horizontal="center"/>
    </xf>
    <xf numFmtId="0" fontId="0" fillId="5" borderId="0" xfId="0" applyFill="1"/>
    <xf numFmtId="0" fontId="0" fillId="5" borderId="9" xfId="0" applyFill="1" applyBorder="1"/>
    <xf numFmtId="169" fontId="0" fillId="5" borderId="0" xfId="0" applyNumberFormat="1" applyFill="1" applyAlignment="1">
      <alignment horizontal="left"/>
    </xf>
    <xf numFmtId="0" fontId="0" fillId="5" borderId="0" xfId="0" applyFill="1" applyAlignment="1"/>
    <xf numFmtId="10" fontId="0" fillId="7" borderId="0" xfId="0" applyNumberFormat="1" applyFill="1" applyProtection="1">
      <protection locked="0"/>
    </xf>
    <xf numFmtId="37" fontId="12" fillId="7" borderId="0" xfId="0" applyNumberFormat="1" applyFont="1" applyFill="1" applyProtection="1">
      <protection locked="0"/>
    </xf>
    <xf numFmtId="2" fontId="0" fillId="7" borderId="0" xfId="0" applyNumberFormat="1" applyFill="1"/>
    <xf numFmtId="44" fontId="0" fillId="7" borderId="0" xfId="1" applyNumberFormat="1" applyFont="1" applyFill="1"/>
    <xf numFmtId="10" fontId="0" fillId="7" borderId="0" xfId="1" applyNumberFormat="1" applyFont="1" applyFill="1"/>
    <xf numFmtId="169" fontId="0" fillId="7" borderId="0" xfId="1" applyNumberFormat="1" applyFont="1" applyFill="1"/>
    <xf numFmtId="0" fontId="4" fillId="5" borderId="9" xfId="0" applyFont="1" applyFill="1" applyBorder="1" applyAlignment="1">
      <alignment vertical="center"/>
    </xf>
    <xf numFmtId="0" fontId="4" fillId="5" borderId="0" xfId="0" applyFont="1" applyFill="1" applyBorder="1" applyAlignment="1">
      <alignment vertical="center"/>
    </xf>
    <xf numFmtId="0" fontId="4" fillId="5" borderId="10" xfId="0" applyFont="1" applyFill="1" applyBorder="1" applyAlignment="1">
      <alignment vertical="center"/>
    </xf>
    <xf numFmtId="169" fontId="12" fillId="0" borderId="0" xfId="0" applyNumberFormat="1" applyFont="1" applyAlignment="1">
      <alignment vertical="center"/>
    </xf>
    <xf numFmtId="0" fontId="9" fillId="3" borderId="0" xfId="0" applyFont="1" applyFill="1"/>
    <xf numFmtId="0" fontId="0" fillId="3" borderId="0" xfId="0" applyFont="1" applyFill="1" applyProtection="1"/>
    <xf numFmtId="0" fontId="0" fillId="0" borderId="0" xfId="0" applyAlignment="1"/>
    <xf numFmtId="0" fontId="0" fillId="0" borderId="0" xfId="0" applyAlignment="1">
      <alignment horizontal="center" wrapText="1"/>
    </xf>
    <xf numFmtId="5" fontId="0" fillId="5" borderId="0" xfId="0" applyNumberFormat="1" applyFill="1"/>
    <xf numFmtId="0" fontId="4" fillId="11" borderId="18" xfId="0" applyFont="1" applyFill="1" applyBorder="1" applyAlignment="1">
      <alignment horizontal="center"/>
    </xf>
    <xf numFmtId="170" fontId="19" fillId="0" borderId="0" xfId="0" applyNumberFormat="1" applyFont="1" applyFill="1" applyBorder="1" applyAlignment="1">
      <alignment horizontal="center" vertical="center"/>
    </xf>
    <xf numFmtId="0" fontId="4" fillId="11" borderId="16" xfId="0" applyFont="1" applyFill="1" applyBorder="1"/>
    <xf numFmtId="169" fontId="22" fillId="5" borderId="2" xfId="0" applyNumberFormat="1" applyFont="1" applyFill="1" applyBorder="1" applyAlignment="1">
      <alignment horizontal="center" vertical="center"/>
    </xf>
    <xf numFmtId="169" fontId="22" fillId="5" borderId="7" xfId="0" applyNumberFormat="1" applyFont="1" applyFill="1" applyBorder="1" applyAlignment="1">
      <alignment horizontal="center" vertical="center"/>
    </xf>
    <xf numFmtId="169" fontId="22" fillId="5" borderId="4" xfId="0" applyNumberFormat="1" applyFont="1" applyFill="1" applyBorder="1" applyAlignment="1">
      <alignment horizontal="center" vertical="center"/>
    </xf>
    <xf numFmtId="169" fontId="22" fillId="5" borderId="1" xfId="0" applyNumberFormat="1" applyFont="1" applyFill="1" applyBorder="1" applyAlignment="1">
      <alignment horizontal="center" vertical="center"/>
    </xf>
    <xf numFmtId="0" fontId="9" fillId="0" borderId="0" xfId="0" applyFont="1" applyAlignment="1"/>
    <xf numFmtId="0" fontId="9" fillId="0" borderId="10" xfId="0" applyFont="1" applyBorder="1" applyAlignment="1"/>
    <xf numFmtId="170" fontId="0" fillId="0" borderId="9" xfId="0" applyNumberFormat="1" applyFont="1" applyBorder="1" applyAlignment="1">
      <alignment horizontal="center" vertical="center"/>
    </xf>
    <xf numFmtId="170" fontId="0" fillId="0" borderId="10" xfId="0" applyNumberFormat="1" applyFont="1" applyBorder="1" applyAlignment="1">
      <alignment horizontal="center" vertical="center"/>
    </xf>
    <xf numFmtId="173"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xf>
    <xf numFmtId="0" fontId="10" fillId="10" borderId="13" xfId="0" applyFont="1" applyFill="1" applyBorder="1" applyAlignment="1">
      <alignment horizontal="left" vertical="top"/>
    </xf>
    <xf numFmtId="0" fontId="0" fillId="10" borderId="14" xfId="0" applyFill="1" applyBorder="1" applyAlignment="1"/>
    <xf numFmtId="0" fontId="0" fillId="10" borderId="15" xfId="0" applyFill="1" applyBorder="1" applyAlignment="1"/>
    <xf numFmtId="0" fontId="19" fillId="13" borderId="2" xfId="0" applyFont="1" applyFill="1" applyBorder="1" applyAlignment="1">
      <alignment horizontal="center" vertical="center" wrapText="1"/>
    </xf>
    <xf numFmtId="0" fontId="23" fillId="13" borderId="7" xfId="0" applyFont="1" applyFill="1" applyBorder="1" applyAlignment="1">
      <alignment horizontal="center" vertical="center"/>
    </xf>
    <xf numFmtId="0" fontId="0" fillId="13" borderId="3" xfId="0" applyFill="1" applyBorder="1" applyAlignment="1">
      <alignment horizontal="center"/>
    </xf>
    <xf numFmtId="0" fontId="23" fillId="13" borderId="9" xfId="0" applyFont="1" applyFill="1" applyBorder="1" applyAlignment="1">
      <alignment horizontal="center" vertical="center"/>
    </xf>
    <xf numFmtId="0" fontId="23" fillId="13" borderId="0" xfId="0" applyFont="1" applyFill="1" applyBorder="1" applyAlignment="1">
      <alignment horizontal="center" vertical="center"/>
    </xf>
    <xf numFmtId="0" fontId="0" fillId="13" borderId="10" xfId="0" applyFill="1" applyBorder="1" applyAlignment="1">
      <alignment horizontal="center"/>
    </xf>
    <xf numFmtId="0" fontId="23" fillId="13" borderId="4" xfId="0" applyFont="1" applyFill="1" applyBorder="1" applyAlignment="1">
      <alignment horizontal="center" vertical="center"/>
    </xf>
    <xf numFmtId="0" fontId="23" fillId="13" borderId="1" xfId="0" applyFont="1" applyFill="1" applyBorder="1" applyAlignment="1">
      <alignment horizontal="center" vertical="center"/>
    </xf>
    <xf numFmtId="0" fontId="0" fillId="13" borderId="5" xfId="0" applyFill="1" applyBorder="1" applyAlignment="1">
      <alignment horizontal="center"/>
    </xf>
    <xf numFmtId="0" fontId="0" fillId="9" borderId="13" xfId="0" applyFill="1" applyBorder="1" applyAlignment="1"/>
    <xf numFmtId="0" fontId="0" fillId="9" borderId="14" xfId="0" applyFill="1" applyBorder="1" applyAlignment="1"/>
    <xf numFmtId="0" fontId="0" fillId="9" borderId="15" xfId="0" applyFill="1" applyBorder="1" applyAlignment="1"/>
    <xf numFmtId="0" fontId="18" fillId="0" borderId="2" xfId="0" applyFont="1" applyBorder="1" applyAlignment="1">
      <alignment horizontal="center" vertical="top"/>
    </xf>
    <xf numFmtId="0" fontId="24" fillId="0" borderId="7" xfId="0" applyFont="1" applyBorder="1" applyAlignment="1">
      <alignment horizontal="center" vertical="top"/>
    </xf>
    <xf numFmtId="0" fontId="24" fillId="0" borderId="3" xfId="0" applyFont="1" applyBorder="1" applyAlignment="1">
      <alignment horizontal="center" vertical="top"/>
    </xf>
    <xf numFmtId="0" fontId="24" fillId="0" borderId="4" xfId="0" applyFont="1" applyBorder="1" applyAlignment="1">
      <alignment horizontal="center" vertical="top"/>
    </xf>
    <xf numFmtId="0" fontId="24" fillId="0" borderId="1" xfId="0" applyFont="1" applyBorder="1" applyAlignment="1">
      <alignment horizontal="center" vertical="top"/>
    </xf>
    <xf numFmtId="0" fontId="24" fillId="0" borderId="5" xfId="0" applyFont="1" applyBorder="1" applyAlignment="1">
      <alignment horizontal="center" vertical="top"/>
    </xf>
    <xf numFmtId="169" fontId="20" fillId="0" borderId="22" xfId="0" applyNumberFormat="1" applyFont="1" applyFill="1" applyBorder="1" applyAlignment="1">
      <alignment horizontal="left" vertical="center"/>
    </xf>
    <xf numFmtId="0" fontId="21" fillId="0" borderId="0" xfId="0" applyFont="1" applyFill="1" applyBorder="1" applyAlignment="1">
      <alignment vertical="center"/>
    </xf>
    <xf numFmtId="0" fontId="0" fillId="0" borderId="10" xfId="0" applyFill="1" applyBorder="1" applyAlignment="1"/>
    <xf numFmtId="0" fontId="21" fillId="0" borderId="23" xfId="0" applyFont="1" applyFill="1" applyBorder="1" applyAlignment="1">
      <alignment vertical="center"/>
    </xf>
    <xf numFmtId="0" fontId="21" fillId="0" borderId="1" xfId="0" applyFont="1" applyFill="1" applyBorder="1" applyAlignment="1">
      <alignment vertical="center"/>
    </xf>
    <xf numFmtId="0" fontId="0" fillId="0" borderId="5" xfId="0" applyFill="1" applyBorder="1" applyAlignment="1"/>
    <xf numFmtId="0" fontId="18" fillId="0" borderId="7" xfId="0" applyFont="1" applyBorder="1" applyAlignment="1">
      <alignment horizontal="center" vertical="top"/>
    </xf>
    <xf numFmtId="0" fontId="20" fillId="0" borderId="22" xfId="0" applyFont="1" applyFill="1" applyBorder="1" applyAlignment="1">
      <alignment vertical="center"/>
    </xf>
    <xf numFmtId="0" fontId="20" fillId="0" borderId="0" xfId="0" applyFont="1" applyFill="1" applyBorder="1" applyAlignment="1">
      <alignment vertical="center"/>
    </xf>
    <xf numFmtId="0" fontId="21" fillId="0" borderId="22" xfId="0" applyFont="1" applyFill="1" applyBorder="1" applyAlignment="1">
      <alignment vertical="center"/>
    </xf>
    <xf numFmtId="0" fontId="18" fillId="0" borderId="7" xfId="0" applyFont="1" applyBorder="1" applyAlignment="1">
      <alignment horizontal="center" vertical="center" wrapText="1"/>
    </xf>
    <xf numFmtId="0" fontId="0" fillId="0" borderId="7" xfId="0" applyBorder="1" applyAlignment="1">
      <alignment horizontal="center" vertical="center"/>
    </xf>
    <xf numFmtId="0" fontId="18" fillId="0" borderId="1" xfId="0" applyFont="1" applyBorder="1" applyAlignment="1">
      <alignment horizontal="center" vertical="center"/>
    </xf>
    <xf numFmtId="0" fontId="0" fillId="0" borderId="1" xfId="0" applyBorder="1" applyAlignment="1">
      <alignment horizontal="center" vertical="center"/>
    </xf>
    <xf numFmtId="0" fontId="18" fillId="0" borderId="2" xfId="0" applyFont="1" applyBorder="1" applyAlignment="1">
      <alignment horizontal="center" vertical="center" wrapText="1"/>
    </xf>
    <xf numFmtId="170" fontId="18" fillId="11" borderId="2" xfId="0" applyNumberFormat="1" applyFont="1" applyFill="1" applyBorder="1" applyAlignment="1">
      <alignment horizontal="center" vertical="center"/>
    </xf>
    <xf numFmtId="170" fontId="18" fillId="11" borderId="7" xfId="0" applyNumberFormat="1" applyFont="1" applyFill="1" applyBorder="1" applyAlignment="1">
      <alignment horizontal="center" vertical="center"/>
    </xf>
    <xf numFmtId="170" fontId="18" fillId="11" borderId="3" xfId="0" applyNumberFormat="1" applyFont="1" applyFill="1" applyBorder="1" applyAlignment="1">
      <alignment horizontal="center" vertical="center"/>
    </xf>
    <xf numFmtId="0" fontId="18" fillId="0" borderId="4" xfId="0" applyFont="1" applyBorder="1" applyAlignment="1">
      <alignment horizontal="center" vertical="center"/>
    </xf>
    <xf numFmtId="170" fontId="18" fillId="11" borderId="24" xfId="0" applyNumberFormat="1" applyFont="1" applyFill="1" applyBorder="1" applyAlignment="1">
      <alignment horizontal="center" vertical="center"/>
    </xf>
    <xf numFmtId="170" fontId="18" fillId="11" borderId="25" xfId="0" applyNumberFormat="1" applyFont="1" applyFill="1" applyBorder="1" applyAlignment="1">
      <alignment horizontal="center" vertical="center"/>
    </xf>
    <xf numFmtId="170" fontId="18" fillId="11" borderId="26" xfId="0" applyNumberFormat="1" applyFont="1" applyFill="1" applyBorder="1" applyAlignment="1">
      <alignment horizontal="center" vertical="center"/>
    </xf>
    <xf numFmtId="170" fontId="22" fillId="10" borderId="21" xfId="0" applyNumberFormat="1" applyFont="1" applyFill="1" applyBorder="1" applyAlignment="1">
      <alignment horizontal="center" vertical="center"/>
    </xf>
    <xf numFmtId="0" fontId="22" fillId="10" borderId="19"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6" xfId="0" applyFont="1" applyFill="1" applyBorder="1" applyAlignment="1">
      <alignment horizontal="center" vertical="center"/>
    </xf>
    <xf numFmtId="170" fontId="0" fillId="0" borderId="4" xfId="0" applyNumberFormat="1" applyFont="1" applyBorder="1" applyAlignment="1">
      <alignment horizontal="center" vertical="center"/>
    </xf>
    <xf numFmtId="170" fontId="0" fillId="0" borderId="5" xfId="0" applyNumberFormat="1" applyFont="1" applyBorder="1" applyAlignment="1">
      <alignment horizontal="center" vertical="center"/>
    </xf>
    <xf numFmtId="173" fontId="0" fillId="0" borderId="0" xfId="0" applyNumberFormat="1" applyFont="1" applyBorder="1" applyAlignment="1">
      <alignment horizontal="center" vertical="center"/>
    </xf>
    <xf numFmtId="0" fontId="0" fillId="0" borderId="9" xfId="0" applyFont="1" applyBorder="1" applyAlignment="1">
      <alignment horizontal="right"/>
    </xf>
    <xf numFmtId="0" fontId="0" fillId="0" borderId="0" xfId="0" applyAlignment="1">
      <alignment horizontal="right"/>
    </xf>
    <xf numFmtId="0" fontId="4" fillId="14" borderId="8" xfId="0" applyFont="1" applyFill="1" applyBorder="1" applyAlignment="1">
      <alignment horizontal="center"/>
    </xf>
    <xf numFmtId="0" fontId="0" fillId="14" borderId="8" xfId="0" applyFill="1" applyBorder="1" applyAlignment="1">
      <alignment horizontal="center"/>
    </xf>
    <xf numFmtId="0" fontId="4" fillId="0" borderId="11" xfId="0" applyFont="1" applyBorder="1" applyAlignment="1">
      <alignment horizontal="center" vertical="center" wrapText="1"/>
    </xf>
    <xf numFmtId="0" fontId="0" fillId="0" borderId="12" xfId="0" applyFont="1" applyBorder="1" applyAlignment="1">
      <alignment horizontal="center" vertical="center" wrapText="1"/>
    </xf>
    <xf numFmtId="173" fontId="0" fillId="0" borderId="7" xfId="0" applyNumberFormat="1" applyFont="1" applyBorder="1" applyAlignment="1">
      <alignment horizontal="center" vertical="center"/>
    </xf>
    <xf numFmtId="0" fontId="0" fillId="0" borderId="3" xfId="0" applyFont="1" applyBorder="1" applyAlignment="1">
      <alignment horizontal="center" vertical="center"/>
    </xf>
    <xf numFmtId="170" fontId="0" fillId="0" borderId="2" xfId="0" applyNumberFormat="1" applyFont="1" applyBorder="1" applyAlignment="1">
      <alignment horizontal="center" vertical="center"/>
    </xf>
    <xf numFmtId="170" fontId="0" fillId="0" borderId="3" xfId="0" applyNumberFormat="1" applyFont="1" applyBorder="1" applyAlignment="1">
      <alignment horizontal="center" vertical="center"/>
    </xf>
    <xf numFmtId="173" fontId="0" fillId="0" borderId="1" xfId="0" applyNumberFormat="1" applyFont="1" applyBorder="1" applyAlignment="1">
      <alignment horizontal="center"/>
    </xf>
    <xf numFmtId="0" fontId="0" fillId="0" borderId="5" xfId="0" applyFont="1" applyBorder="1" applyAlignment="1">
      <alignment horizontal="center"/>
    </xf>
    <xf numFmtId="0" fontId="10" fillId="14" borderId="8" xfId="0" applyFont="1" applyFill="1" applyBorder="1" applyAlignment="1">
      <alignment horizontal="center"/>
    </xf>
    <xf numFmtId="0" fontId="9" fillId="14" borderId="8" xfId="0" applyFont="1" applyFill="1" applyBorder="1" applyAlignment="1">
      <alignment horizontal="center"/>
    </xf>
    <xf numFmtId="170" fontId="18" fillId="4" borderId="27" xfId="0" applyNumberFormat="1" applyFont="1" applyFill="1" applyBorder="1" applyAlignment="1">
      <alignment horizontal="center"/>
    </xf>
    <xf numFmtId="170" fontId="18" fillId="4" borderId="28" xfId="0" applyNumberFormat="1" applyFont="1" applyFill="1" applyBorder="1" applyAlignment="1">
      <alignment horizontal="center"/>
    </xf>
    <xf numFmtId="0" fontId="9" fillId="0" borderId="0" xfId="0" applyFont="1" applyBorder="1" applyAlignment="1"/>
    <xf numFmtId="0" fontId="9" fillId="0" borderId="1" xfId="0" applyFont="1" applyBorder="1" applyAlignment="1"/>
    <xf numFmtId="0" fontId="9" fillId="0" borderId="5" xfId="0" applyFont="1" applyBorder="1" applyAlignment="1"/>
    <xf numFmtId="10" fontId="18" fillId="4" borderId="29" xfId="0" applyNumberFormat="1" applyFont="1" applyFill="1" applyBorder="1" applyAlignment="1">
      <alignment horizontal="center"/>
    </xf>
    <xf numFmtId="10" fontId="18" fillId="4" borderId="30" xfId="0" applyNumberFormat="1" applyFont="1" applyFill="1" applyBorder="1" applyAlignment="1">
      <alignment horizontal="center"/>
    </xf>
    <xf numFmtId="1" fontId="18" fillId="4" borderId="29" xfId="0" applyNumberFormat="1" applyFont="1" applyFill="1" applyBorder="1" applyAlignment="1">
      <alignment horizontal="center"/>
    </xf>
    <xf numFmtId="1" fontId="18" fillId="4" borderId="30" xfId="0" applyNumberFormat="1" applyFont="1" applyFill="1" applyBorder="1" applyAlignment="1">
      <alignment horizontal="center"/>
    </xf>
    <xf numFmtId="170" fontId="18" fillId="4" borderId="29" xfId="0" applyNumberFormat="1" applyFont="1" applyFill="1" applyBorder="1" applyAlignment="1">
      <alignment horizontal="center"/>
    </xf>
    <xf numFmtId="170" fontId="18" fillId="4" borderId="30" xfId="0" applyNumberFormat="1" applyFont="1" applyFill="1" applyBorder="1" applyAlignment="1">
      <alignment horizontal="center"/>
    </xf>
    <xf numFmtId="1" fontId="18" fillId="4" borderId="24" xfId="0" applyNumberFormat="1" applyFont="1" applyFill="1" applyBorder="1" applyAlignment="1">
      <alignment horizontal="center"/>
    </xf>
    <xf numFmtId="1" fontId="18" fillId="4" borderId="26" xfId="0" applyNumberFormat="1" applyFont="1" applyFill="1" applyBorder="1" applyAlignment="1">
      <alignment horizontal="center"/>
    </xf>
    <xf numFmtId="0" fontId="0" fillId="0" borderId="9" xfId="0" applyBorder="1" applyAlignment="1">
      <alignment horizontal="right"/>
    </xf>
    <xf numFmtId="175" fontId="0" fillId="0" borderId="9" xfId="0" applyNumberFormat="1" applyFont="1" applyBorder="1" applyAlignment="1">
      <alignment horizontal="right"/>
    </xf>
    <xf numFmtId="0" fontId="0" fillId="0" borderId="4" xfId="0" applyFont="1" applyBorder="1" applyAlignment="1">
      <alignment horizontal="right"/>
    </xf>
    <xf numFmtId="0" fontId="0" fillId="0" borderId="1" xfId="0" applyBorder="1" applyAlignment="1">
      <alignment horizontal="right"/>
    </xf>
    <xf numFmtId="0" fontId="18" fillId="5" borderId="0" xfId="0" applyFont="1" applyFill="1" applyAlignment="1">
      <alignment wrapText="1"/>
    </xf>
    <xf numFmtId="0" fontId="18" fillId="5" borderId="6" xfId="0" applyFont="1" applyFill="1" applyBorder="1" applyAlignment="1">
      <alignment wrapText="1"/>
    </xf>
    <xf numFmtId="170" fontId="19" fillId="4" borderId="31" xfId="0" applyNumberFormat="1" applyFont="1" applyFill="1" applyBorder="1" applyAlignment="1">
      <alignment horizontal="center" vertical="center"/>
    </xf>
    <xf numFmtId="170" fontId="19" fillId="4" borderId="32" xfId="0" applyNumberFormat="1" applyFont="1" applyFill="1" applyBorder="1" applyAlignment="1">
      <alignment horizontal="center" vertical="center"/>
    </xf>
    <xf numFmtId="170" fontId="19" fillId="4" borderId="33" xfId="0" applyNumberFormat="1" applyFont="1" applyFill="1" applyBorder="1" applyAlignment="1">
      <alignment horizontal="center" vertical="center"/>
    </xf>
    <xf numFmtId="170" fontId="19" fillId="4" borderId="34" xfId="0" applyNumberFormat="1" applyFont="1" applyFill="1" applyBorder="1" applyAlignment="1">
      <alignment horizontal="center" vertical="center"/>
    </xf>
    <xf numFmtId="170" fontId="29" fillId="11" borderId="31" xfId="0" applyNumberFormat="1" applyFont="1" applyFill="1" applyBorder="1" applyAlignment="1">
      <alignment horizontal="center" vertical="center"/>
    </xf>
    <xf numFmtId="170" fontId="29" fillId="11" borderId="32" xfId="0" applyNumberFormat="1" applyFont="1" applyFill="1" applyBorder="1" applyAlignment="1">
      <alignment horizontal="center" vertical="center"/>
    </xf>
    <xf numFmtId="170" fontId="29" fillId="11" borderId="33" xfId="0" applyNumberFormat="1" applyFont="1" applyFill="1" applyBorder="1" applyAlignment="1">
      <alignment horizontal="center" vertical="center"/>
    </xf>
    <xf numFmtId="170" fontId="29" fillId="11" borderId="34" xfId="0" applyNumberFormat="1" applyFont="1" applyFill="1" applyBorder="1" applyAlignment="1">
      <alignment horizontal="center" vertical="center"/>
    </xf>
    <xf numFmtId="0" fontId="10" fillId="0" borderId="0" xfId="0" applyFont="1" applyBorder="1" applyAlignment="1">
      <alignment horizontal="center" wrapText="1"/>
    </xf>
    <xf numFmtId="0" fontId="10" fillId="0" borderId="6" xfId="0" applyFont="1" applyBorder="1" applyAlignment="1">
      <alignment horizontal="center" wrapText="1"/>
    </xf>
    <xf numFmtId="0" fontId="25" fillId="0" borderId="2" xfId="0" applyFont="1" applyBorder="1" applyAlignment="1">
      <alignment horizontal="left" vertical="top" wrapText="1"/>
    </xf>
    <xf numFmtId="0" fontId="25" fillId="0" borderId="7" xfId="0" applyFont="1" applyBorder="1" applyAlignment="1">
      <alignment horizontal="left" vertical="top"/>
    </xf>
    <xf numFmtId="0" fontId="26" fillId="0" borderId="3" xfId="0" applyFont="1" applyBorder="1" applyAlignment="1"/>
    <xf numFmtId="0" fontId="25" fillId="0" borderId="9" xfId="0" applyFont="1" applyBorder="1" applyAlignment="1">
      <alignment horizontal="left" vertical="top"/>
    </xf>
    <xf numFmtId="0" fontId="25" fillId="0" borderId="0" xfId="0" applyFont="1" applyBorder="1" applyAlignment="1">
      <alignment horizontal="left" vertical="top"/>
    </xf>
    <xf numFmtId="0" fontId="26" fillId="0" borderId="10" xfId="0" applyFont="1" applyBorder="1" applyAlignment="1"/>
    <xf numFmtId="0" fontId="26" fillId="0" borderId="9" xfId="0" applyFont="1" applyBorder="1" applyAlignment="1"/>
    <xf numFmtId="0" fontId="26" fillId="0" borderId="0" xfId="0" applyFont="1" applyBorder="1" applyAlignment="1"/>
    <xf numFmtId="0" fontId="24" fillId="0" borderId="9" xfId="0" applyFont="1" applyBorder="1" applyAlignment="1"/>
    <xf numFmtId="0" fontId="24" fillId="0" borderId="0" xfId="0" applyFont="1" applyBorder="1" applyAlignment="1"/>
    <xf numFmtId="0" fontId="24" fillId="0" borderId="10" xfId="0" applyFont="1" applyBorder="1" applyAlignment="1"/>
    <xf numFmtId="0" fontId="0" fillId="0" borderId="20" xfId="0" applyBorder="1" applyAlignment="1"/>
    <xf numFmtId="0" fontId="0" fillId="0" borderId="6" xfId="0" applyBorder="1" applyAlignment="1"/>
    <xf numFmtId="0" fontId="0" fillId="0" borderId="35" xfId="0" applyBorder="1" applyAlignment="1"/>
    <xf numFmtId="0" fontId="18" fillId="5" borderId="0" xfId="0" applyFont="1" applyFill="1" applyAlignment="1">
      <alignment horizontal="center" wrapText="1"/>
    </xf>
    <xf numFmtId="0" fontId="18" fillId="5" borderId="6" xfId="0" applyFont="1" applyFill="1" applyBorder="1" applyAlignment="1">
      <alignment horizontal="center" wrapText="1"/>
    </xf>
    <xf numFmtId="0" fontId="18" fillId="0" borderId="0" xfId="0" applyFont="1" applyBorder="1" applyAlignment="1">
      <alignment horizontal="left" wrapText="1"/>
    </xf>
    <xf numFmtId="170" fontId="19" fillId="4" borderId="16" xfId="0" applyNumberFormat="1" applyFont="1" applyFill="1" applyBorder="1" applyAlignment="1">
      <alignment horizontal="center" vertical="center"/>
    </xf>
    <xf numFmtId="170" fontId="19" fillId="4" borderId="18" xfId="0" applyNumberFormat="1" applyFont="1" applyFill="1" applyBorder="1" applyAlignment="1">
      <alignment horizontal="center" vertical="center"/>
    </xf>
    <xf numFmtId="0" fontId="17" fillId="4" borderId="16" xfId="0" applyFont="1" applyFill="1" applyBorder="1" applyAlignment="1">
      <alignment horizontal="center"/>
    </xf>
    <xf numFmtId="0" fontId="17" fillId="4" borderId="18" xfId="0" applyFont="1" applyFill="1" applyBorder="1" applyAlignment="1">
      <alignment horizontal="center"/>
    </xf>
    <xf numFmtId="170" fontId="22" fillId="12" borderId="9" xfId="0" applyNumberFormat="1" applyFont="1" applyFill="1" applyBorder="1" applyAlignment="1">
      <alignment horizontal="center" vertical="center"/>
    </xf>
    <xf numFmtId="170" fontId="22" fillId="12" borderId="0" xfId="0" applyNumberFormat="1" applyFont="1" applyFill="1" applyBorder="1" applyAlignment="1">
      <alignment horizontal="center" vertical="center"/>
    </xf>
    <xf numFmtId="170" fontId="22" fillId="11" borderId="21" xfId="0" applyNumberFormat="1" applyFont="1" applyFill="1" applyBorder="1" applyAlignment="1">
      <alignment horizontal="center" vertical="center"/>
    </xf>
    <xf numFmtId="0" fontId="22" fillId="11" borderId="19" xfId="0" applyFont="1" applyFill="1" applyBorder="1" applyAlignment="1">
      <alignment horizontal="center" vertical="center"/>
    </xf>
    <xf numFmtId="0" fontId="22" fillId="11" borderId="9" xfId="0" applyFont="1" applyFill="1" applyBorder="1" applyAlignment="1">
      <alignment horizontal="center" vertical="center"/>
    </xf>
    <xf numFmtId="0" fontId="22" fillId="11" borderId="0" xfId="0" applyFont="1" applyFill="1" applyBorder="1" applyAlignment="1">
      <alignment horizontal="center" vertical="center"/>
    </xf>
    <xf numFmtId="0" fontId="16"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vertical="center"/>
    </xf>
    <xf numFmtId="0" fontId="0" fillId="0" borderId="0" xfId="0" applyAlignment="1">
      <alignment vertical="center"/>
    </xf>
    <xf numFmtId="0" fontId="0" fillId="0" borderId="0" xfId="0" applyAlignment="1"/>
    <xf numFmtId="164" fontId="4" fillId="0" borderId="0" xfId="1" applyNumberFormat="1" applyFont="1" applyBorder="1" applyAlignment="1">
      <alignment horizontal="center" wrapText="1"/>
    </xf>
    <xf numFmtId="164" fontId="4" fillId="0" borderId="1" xfId="1" applyNumberFormat="1" applyFont="1" applyBorder="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4" fillId="0" borderId="0" xfId="0" applyFont="1" applyBorder="1" applyAlignment="1">
      <alignment wrapText="1"/>
    </xf>
    <xf numFmtId="164" fontId="4" fillId="0" borderId="0" xfId="1" applyNumberFormat="1" applyFont="1" applyBorder="1" applyAlignment="1">
      <alignment horizont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6" fillId="0" borderId="2" xfId="0" applyFont="1" applyBorder="1" applyAlignment="1">
      <alignment horizontal="center" vertical="center"/>
    </xf>
    <xf numFmtId="164" fontId="0" fillId="0" borderId="0" xfId="1" applyNumberFormat="1" applyFont="1" applyBorder="1" applyAlignment="1">
      <alignment horizontal="center" wrapText="1"/>
    </xf>
    <xf numFmtId="164" fontId="0" fillId="0" borderId="1" xfId="1" applyNumberFormat="1" applyFont="1" applyBorder="1" applyAlignment="1">
      <alignment horizontal="center" wrapText="1"/>
    </xf>
    <xf numFmtId="0" fontId="0" fillId="0" borderId="0" xfId="0" applyBorder="1" applyAlignment="1">
      <alignment horizontal="center" wrapText="1"/>
    </xf>
    <xf numFmtId="165" fontId="0" fillId="0" borderId="0" xfId="1" applyNumberFormat="1" applyFont="1" applyBorder="1" applyAlignment="1">
      <alignment horizontal="center" wrapText="1"/>
    </xf>
    <xf numFmtId="165" fontId="0" fillId="0" borderId="1" xfId="1" applyNumberFormat="1" applyFont="1" applyBorder="1" applyAlignment="1">
      <alignment horizontal="center"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DFF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Tax Rate Projection: Impact of New Build vs. Maintaining the Old Building</a:t>
            </a:r>
            <a:endParaRPr lang="en-US">
              <a:effectLst/>
            </a:endParaRPr>
          </a:p>
        </c:rich>
      </c:tx>
      <c:layout>
        <c:manualLayout>
          <c:xMode val="edge"/>
          <c:yMode val="edge"/>
          <c:x val="0.19169933041841411"/>
          <c:y val="1.978021635714867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4.0049557020881851E-2"/>
          <c:y val="0.13508252399714046"/>
          <c:w val="0.94951928802685748"/>
          <c:h val="0.74812594131246146"/>
        </c:manualLayout>
      </c:layout>
      <c:lineChart>
        <c:grouping val="standard"/>
        <c:varyColors val="0"/>
        <c:ser>
          <c:idx val="0"/>
          <c:order val="0"/>
          <c:tx>
            <c:v>Flat Spending</c:v>
          </c:tx>
          <c:spPr>
            <a:ln w="34925" cap="rnd">
              <a:solidFill>
                <a:srgbClr val="FFFF00"/>
              </a:solidFill>
              <a:round/>
            </a:ln>
            <a:effectLst>
              <a:outerShdw blurRad="57150" dist="19050" dir="5400000" algn="ctr" rotWithShape="0">
                <a:srgbClr val="000000">
                  <a:alpha val="63000"/>
                </a:srgbClr>
              </a:outerShdw>
            </a:effectLst>
          </c:spPr>
          <c:marker>
            <c:symbol val="none"/>
          </c:marker>
          <c:cat>
            <c:numRef>
              <c:f>'Property Tax Calc'!$I$12:$AQ$12</c:f>
              <c:numCache>
                <c:formatCode>0</c:formatCode>
                <c:ptCount val="35"/>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numCache>
            </c:numRef>
          </c:cat>
          <c:val>
            <c:numRef>
              <c:f>'Property Tax Calc'!$I$26:$AQ$26</c:f>
              <c:numCache>
                <c:formatCode>"$"#,##0.0000_);[Red]\("$"#,##0.0000\)</c:formatCode>
                <c:ptCount val="35"/>
                <c:pt idx="0">
                  <c:v>1.5222996272224472</c:v>
                </c:pt>
                <c:pt idx="1">
                  <c:v>1.6196245480577491</c:v>
                </c:pt>
                <c:pt idx="2">
                  <c:v>1.630897706605829</c:v>
                </c:pt>
                <c:pt idx="3">
                  <c:v>1.6640715324738398</c:v>
                </c:pt>
                <c:pt idx="4">
                  <c:v>1.7137606967066137</c:v>
                </c:pt>
                <c:pt idx="5">
                  <c:v>1.7214018869402401</c:v>
                </c:pt>
                <c:pt idx="6">
                  <c:v>1.7214018869402401</c:v>
                </c:pt>
                <c:pt idx="7">
                  <c:v>1.7214018869402403</c:v>
                </c:pt>
                <c:pt idx="8">
                  <c:v>1.7214018869402401</c:v>
                </c:pt>
                <c:pt idx="9">
                  <c:v>1.7214018869402405</c:v>
                </c:pt>
                <c:pt idx="10">
                  <c:v>1.7214018869402403</c:v>
                </c:pt>
                <c:pt idx="11">
                  <c:v>1.7214018869402401</c:v>
                </c:pt>
                <c:pt idx="12">
                  <c:v>1.7214018869402401</c:v>
                </c:pt>
                <c:pt idx="13">
                  <c:v>1.7214018869402401</c:v>
                </c:pt>
                <c:pt idx="14">
                  <c:v>1.7214018869402399</c:v>
                </c:pt>
                <c:pt idx="15">
                  <c:v>1.7214018869402397</c:v>
                </c:pt>
                <c:pt idx="16">
                  <c:v>1.7214018869402397</c:v>
                </c:pt>
                <c:pt idx="17">
                  <c:v>1.7214018869402394</c:v>
                </c:pt>
                <c:pt idx="18">
                  <c:v>1.7214018869402397</c:v>
                </c:pt>
                <c:pt idx="19">
                  <c:v>1.7214018869402397</c:v>
                </c:pt>
                <c:pt idx="20">
                  <c:v>1.7214018869402394</c:v>
                </c:pt>
                <c:pt idx="21">
                  <c:v>1.7214018869402392</c:v>
                </c:pt>
                <c:pt idx="22">
                  <c:v>1.7214018869402392</c:v>
                </c:pt>
                <c:pt idx="23">
                  <c:v>1.7214018869402392</c:v>
                </c:pt>
                <c:pt idx="24">
                  <c:v>1.721401886940239</c:v>
                </c:pt>
                <c:pt idx="25">
                  <c:v>1.7214018869402392</c:v>
                </c:pt>
                <c:pt idx="26">
                  <c:v>1.7214018869402392</c:v>
                </c:pt>
                <c:pt idx="27">
                  <c:v>1.7214018869402392</c:v>
                </c:pt>
                <c:pt idx="28">
                  <c:v>1.7214018869402394</c:v>
                </c:pt>
                <c:pt idx="29">
                  <c:v>1.7214018869402392</c:v>
                </c:pt>
                <c:pt idx="30">
                  <c:v>1.7214018869402394</c:v>
                </c:pt>
                <c:pt idx="31">
                  <c:v>1.7214018869402394</c:v>
                </c:pt>
                <c:pt idx="32">
                  <c:v>1.7214018869402392</c:v>
                </c:pt>
                <c:pt idx="33">
                  <c:v>1.7214018869402394</c:v>
                </c:pt>
                <c:pt idx="34">
                  <c:v>1.7214018869402392</c:v>
                </c:pt>
              </c:numCache>
            </c:numRef>
          </c:val>
          <c:smooth val="0"/>
          <c:extLst>
            <c:ext xmlns:c16="http://schemas.microsoft.com/office/drawing/2014/chart" uri="{C3380CC4-5D6E-409C-BE32-E72D297353CC}">
              <c16:uniqueId val="{00000000-2D13-44AA-9C96-DC02D77200A5}"/>
            </c:ext>
          </c:extLst>
        </c:ser>
        <c:ser>
          <c:idx val="1"/>
          <c:order val="1"/>
          <c:tx>
            <c:v>Build New Building</c:v>
          </c:tx>
          <c:spPr>
            <a:ln w="34925" cap="rnd">
              <a:solidFill>
                <a:srgbClr val="00B0F0"/>
              </a:solidFill>
              <a:round/>
            </a:ln>
            <a:effectLst>
              <a:outerShdw blurRad="57150" dist="19050" dir="5400000" algn="ctr" rotWithShape="0">
                <a:srgbClr val="000000">
                  <a:alpha val="63000"/>
                </a:srgbClr>
              </a:outerShdw>
            </a:effectLst>
          </c:spPr>
          <c:marker>
            <c:symbol val="none"/>
          </c:marker>
          <c:cat>
            <c:numRef>
              <c:f>'Property Tax Calc'!$I$12:$AQ$12</c:f>
              <c:numCache>
                <c:formatCode>0</c:formatCode>
                <c:ptCount val="35"/>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numCache>
            </c:numRef>
          </c:cat>
          <c:val>
            <c:numRef>
              <c:f>'Property Tax Calc'!$I$27:$AQ$27</c:f>
              <c:numCache>
                <c:formatCode>"$"#,##0.0000_);[Red]\("$"#,##0.0000\)</c:formatCode>
                <c:ptCount val="35"/>
                <c:pt idx="0">
                  <c:v>1.5222996272224472</c:v>
                </c:pt>
                <c:pt idx="1">
                  <c:v>1.6196245480577491</c:v>
                </c:pt>
                <c:pt idx="2">
                  <c:v>1.630897706605829</c:v>
                </c:pt>
                <c:pt idx="3">
                  <c:v>1.6640715324738398</c:v>
                </c:pt>
                <c:pt idx="4">
                  <c:v>1.9887552043661256</c:v>
                </c:pt>
                <c:pt idx="5">
                  <c:v>1.9964728334209159</c:v>
                </c:pt>
                <c:pt idx="6">
                  <c:v>1.9962296323303192</c:v>
                </c:pt>
                <c:pt idx="7">
                  <c:v>1.9956883220745842</c:v>
                </c:pt>
                <c:pt idx="8">
                  <c:v>1.9948693427389872</c:v>
                </c:pt>
                <c:pt idx="9">
                  <c:v>2.0019783383466478</c:v>
                </c:pt>
                <c:pt idx="10">
                  <c:v>1.987955310415968</c:v>
                </c:pt>
                <c:pt idx="11">
                  <c:v>1.9745598464616751</c:v>
                </c:pt>
                <c:pt idx="12">
                  <c:v>1.9617655385854524</c:v>
                </c:pt>
                <c:pt idx="13">
                  <c:v>1.9495470472792487</c:v>
                </c:pt>
                <c:pt idx="14">
                  <c:v>1.9378800593657672</c:v>
                </c:pt>
                <c:pt idx="15">
                  <c:v>1.9267412475618018</c:v>
                </c:pt>
                <c:pt idx="16">
                  <c:v>1.916108231602758</c:v>
                </c:pt>
                <c:pt idx="17">
                  <c:v>1.905959540869014</c:v>
                </c:pt>
                <c:pt idx="18">
                  <c:v>1.8962745784570021</c:v>
                </c:pt>
                <c:pt idx="19">
                  <c:v>1.8870335866400456</c:v>
                </c:pt>
                <c:pt idx="20">
                  <c:v>1.8782176136660302</c:v>
                </c:pt>
                <c:pt idx="21">
                  <c:v>1.8698084818410132</c:v>
                </c:pt>
                <c:pt idx="22">
                  <c:v>1.8617887568497455</c:v>
                </c:pt>
                <c:pt idx="23">
                  <c:v>1.8541417182659683</c:v>
                </c:pt>
                <c:pt idx="24">
                  <c:v>1.846851331207086</c:v>
                </c:pt>
                <c:pt idx="25">
                  <c:v>1.8399022190895487</c:v>
                </c:pt>
                <c:pt idx="26">
                  <c:v>1.8332796374429099</c:v>
                </c:pt>
                <c:pt idx="27">
                  <c:v>1.8269694487421193</c:v>
                </c:pt>
                <c:pt idx="28">
                  <c:v>1.820958098219122</c:v>
                </c:pt>
                <c:pt idx="29">
                  <c:v>1.8152325906163178</c:v>
                </c:pt>
                <c:pt idx="30">
                  <c:v>1.809780467845838</c:v>
                </c:pt>
                <c:pt idx="31">
                  <c:v>1.8045897875199592</c:v>
                </c:pt>
                <c:pt idx="32">
                  <c:v>1.799649102319288</c:v>
                </c:pt>
                <c:pt idx="33">
                  <c:v>1.7949474401666028</c:v>
                </c:pt>
                <c:pt idx="34">
                  <c:v>1.7904742851754591</c:v>
                </c:pt>
              </c:numCache>
            </c:numRef>
          </c:val>
          <c:smooth val="0"/>
          <c:extLst>
            <c:ext xmlns:c16="http://schemas.microsoft.com/office/drawing/2014/chart" uri="{C3380CC4-5D6E-409C-BE32-E72D297353CC}">
              <c16:uniqueId val="{00000001-2D13-44AA-9C96-DC02D77200A5}"/>
            </c:ext>
          </c:extLst>
        </c:ser>
        <c:ser>
          <c:idx val="2"/>
          <c:order val="2"/>
          <c:tx>
            <c:v>Maintain Old Building</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'Property Tax Calc'!$I$12:$AQ$12</c:f>
              <c:numCache>
                <c:formatCode>0</c:formatCode>
                <c:ptCount val="35"/>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numCache>
            </c:numRef>
          </c:cat>
          <c:val>
            <c:numRef>
              <c:f>'Property Tax Calc'!$I$28:$AQ$28</c:f>
              <c:numCache>
                <c:formatCode>"$"#,##0.0000_);[Red]\("$"#,##0.0000\)</c:formatCode>
                <c:ptCount val="35"/>
                <c:pt idx="0">
                  <c:v>1.5222996272224472</c:v>
                </c:pt>
                <c:pt idx="1">
                  <c:v>1.6196245480577491</c:v>
                </c:pt>
                <c:pt idx="2">
                  <c:v>1.630897706605829</c:v>
                </c:pt>
                <c:pt idx="3">
                  <c:v>1.8083660183058374</c:v>
                </c:pt>
                <c:pt idx="4">
                  <c:v>1.8271152983769683</c:v>
                </c:pt>
                <c:pt idx="5">
                  <c:v>1.8793149163585374</c:v>
                </c:pt>
                <c:pt idx="6">
                  <c:v>1.8138018620812515</c:v>
                </c:pt>
                <c:pt idx="7">
                  <c:v>1.8183511862837896</c:v>
                </c:pt>
                <c:pt idx="8">
                  <c:v>1.8033654848114908</c:v>
                </c:pt>
                <c:pt idx="9">
                  <c:v>1.8400027295257382</c:v>
                </c:pt>
                <c:pt idx="10">
                  <c:v>1.8020803431054231</c:v>
                </c:pt>
                <c:pt idx="11">
                  <c:v>1.8264483659853672</c:v>
                </c:pt>
                <c:pt idx="12">
                  <c:v>1.9258501637954675</c:v>
                </c:pt>
                <c:pt idx="13">
                  <c:v>1.9171542582105678</c:v>
                </c:pt>
                <c:pt idx="14">
                  <c:v>1.9088594609448712</c:v>
                </c:pt>
                <c:pt idx="15">
                  <c:v>1.900949266026313</c:v>
                </c:pt>
                <c:pt idx="16">
                  <c:v>1.8934078349660124</c:v>
                </c:pt>
                <c:pt idx="17">
                  <c:v>1.8862199706322855</c:v>
                </c:pt>
                <c:pt idx="18">
                  <c:v>1.8793710921303983</c:v>
                </c:pt>
                <c:pt idx="19">
                  <c:v>1.8728472106499396</c:v>
                </c:pt>
                <c:pt idx="20">
                  <c:v>1.8666349062431362</c:v>
                </c:pt>
                <c:pt idx="21">
                  <c:v>1.8607213054987859</c:v>
                </c:pt>
                <c:pt idx="22">
                  <c:v>1.8550940600778349</c:v>
                </c:pt>
                <c:pt idx="23">
                  <c:v>1.8497413260778772</c:v>
                </c:pt>
                <c:pt idx="24">
                  <c:v>1.8446517441950951</c:v>
                </c:pt>
                <c:pt idx="25">
                  <c:v>1.8398144206533409</c:v>
                </c:pt>
                <c:pt idx="26">
                  <c:v>1.8352189088711846</c:v>
                </c:pt>
                <c:pt idx="27">
                  <c:v>1.8308551918388754</c:v>
                </c:pt>
                <c:pt idx="28">
                  <c:v>1.8267136651781832</c:v>
                </c:pt>
                <c:pt idx="29">
                  <c:v>1.8227851208591384</c:v>
                </c:pt>
                <c:pt idx="30">
                  <c:v>1.8190607315486409</c:v>
                </c:pt>
                <c:pt idx="31">
                  <c:v>1.8155320355668589</c:v>
                </c:pt>
                <c:pt idx="32">
                  <c:v>1.81219092242825</c:v>
                </c:pt>
                <c:pt idx="33">
                  <c:v>1.8090296189449007</c:v>
                </c:pt>
                <c:pt idx="34">
                  <c:v>1.8060406758707266</c:v>
                </c:pt>
              </c:numCache>
            </c:numRef>
          </c:val>
          <c:smooth val="0"/>
          <c:extLst>
            <c:ext xmlns:c16="http://schemas.microsoft.com/office/drawing/2014/chart" uri="{C3380CC4-5D6E-409C-BE32-E72D297353CC}">
              <c16:uniqueId val="{00000002-2D13-44AA-9C96-DC02D77200A5}"/>
            </c:ext>
          </c:extLst>
        </c:ser>
        <c:dLbls>
          <c:showLegendKey val="0"/>
          <c:showVal val="0"/>
          <c:showCatName val="0"/>
          <c:showSerName val="0"/>
          <c:showPercent val="0"/>
          <c:showBubbleSize val="0"/>
        </c:dLbls>
        <c:smooth val="0"/>
        <c:axId val="662303231"/>
        <c:axId val="662303647"/>
      </c:lineChart>
      <c:dateAx>
        <c:axId val="662303231"/>
        <c:scaling>
          <c:orientation val="minMax"/>
        </c:scaling>
        <c:delete val="0"/>
        <c:axPos val="b"/>
        <c:numFmt formatCode="0" sourceLinked="0"/>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2303647"/>
        <c:crossesAt val="1.1500000000000001"/>
        <c:auto val="0"/>
        <c:lblOffset val="100"/>
        <c:baseTimeUnit val="days"/>
      </c:dateAx>
      <c:valAx>
        <c:axId val="662303647"/>
        <c:scaling>
          <c:orientation val="minMax"/>
          <c:max val="2.5"/>
          <c:min val="1.45"/>
        </c:scaling>
        <c:delete val="0"/>
        <c:axPos val="l"/>
        <c:majorGridlines>
          <c:spPr>
            <a:ln w="9525" cap="flat" cmpd="sng" algn="ctr">
              <a:solidFill>
                <a:schemeClr val="lt1">
                  <a:lumMod val="95000"/>
                  <a:alpha val="10000"/>
                </a:schemeClr>
              </a:solidFill>
              <a:round/>
            </a:ln>
            <a:effectLst/>
          </c:spPr>
        </c:majorGridlines>
        <c:numFmt formatCode="&quot;$&quot;#,##0.00_);[Red]\(&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62303231"/>
        <c:crosses val="autoZero"/>
        <c:crossBetween val="between"/>
        <c:minorUnit val="4.0000000000000008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592666</xdr:colOff>
      <xdr:row>20</xdr:row>
      <xdr:rowOff>169334</xdr:rowOff>
    </xdr:to>
    <xdr:graphicFrame macro="">
      <xdr:nvGraphicFramePr>
        <xdr:cNvPr id="2" name="Chart 1">
          <a:extLst>
            <a:ext uri="{FF2B5EF4-FFF2-40B4-BE49-F238E27FC236}">
              <a16:creationId xmlns:a16="http://schemas.microsoft.com/office/drawing/2014/main" id="{7B873C7A-7A3B-4114-9CAE-1D13BCF2C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6861A-3E16-4BBE-87FC-65097B3BFE1B}">
  <dimension ref="A1:AD34"/>
  <sheetViews>
    <sheetView showGridLines="0" tabSelected="1" zoomScale="80" zoomScaleNormal="80" zoomScalePageLayoutView="70" workbookViewId="0">
      <selection activeCell="X5" sqref="X5:Y5"/>
    </sheetView>
  </sheetViews>
  <sheetFormatPr defaultRowHeight="14.5" x14ac:dyDescent="0.35"/>
  <cols>
    <col min="1" max="1" width="2.7265625" style="221" customWidth="1"/>
    <col min="2" max="2" width="14.08984375" customWidth="1"/>
    <col min="3" max="3" width="10.1796875" customWidth="1"/>
    <col min="4" max="4" width="11.81640625" customWidth="1"/>
    <col min="6" max="6" width="4.54296875" customWidth="1"/>
    <col min="7" max="7" width="10.7265625" customWidth="1"/>
    <col min="8" max="8" width="3.08984375" customWidth="1"/>
    <col min="9" max="9" width="10.6328125" customWidth="1"/>
    <col min="10" max="10" width="11.08984375" customWidth="1"/>
    <col min="11" max="11" width="9.90625" customWidth="1"/>
    <col min="12" max="12" width="4.08984375" customWidth="1"/>
    <col min="13" max="13" width="10.08984375" customWidth="1"/>
    <col min="14" max="14" width="5.08984375" customWidth="1"/>
    <col min="15" max="15" width="0.81640625" style="221" customWidth="1"/>
    <col min="17" max="17" width="11.1796875" customWidth="1"/>
    <col min="18" max="18" width="8.54296875" customWidth="1"/>
    <col min="19" max="19" width="9.90625" customWidth="1"/>
    <col min="20" max="20" width="8.453125" customWidth="1"/>
    <col min="22" max="22" width="12.08984375" customWidth="1"/>
    <col min="23" max="23" width="3.36328125" customWidth="1"/>
    <col min="25" max="25" width="10.1796875" style="221" customWidth="1"/>
    <col min="26" max="26" width="2.7265625" style="221" customWidth="1"/>
    <col min="27" max="30" width="8.7265625" style="221"/>
  </cols>
  <sheetData>
    <row r="1" spans="2:26" s="221" customFormat="1" ht="15" thickBot="1" x14ac:dyDescent="0.4"/>
    <row r="2" spans="2:26" x14ac:dyDescent="0.35">
      <c r="B2" s="254"/>
      <c r="C2" s="281" t="s">
        <v>289</v>
      </c>
      <c r="D2" s="270"/>
      <c r="E2" s="270"/>
      <c r="F2" s="270"/>
      <c r="G2" s="270"/>
      <c r="H2" s="270"/>
      <c r="I2" s="269" t="s">
        <v>284</v>
      </c>
      <c r="J2" s="270"/>
      <c r="K2" s="270"/>
      <c r="L2" s="270"/>
      <c r="M2" s="270"/>
      <c r="N2" s="271"/>
      <c r="P2" s="347" t="s">
        <v>291</v>
      </c>
      <c r="Q2" s="348"/>
      <c r="R2" s="348"/>
      <c r="S2" s="348"/>
      <c r="T2" s="348"/>
      <c r="U2" s="348"/>
      <c r="V2" s="349"/>
      <c r="W2" s="221"/>
      <c r="X2" s="221"/>
    </row>
    <row r="3" spans="2:26" ht="6" customHeight="1" thickBot="1" x14ac:dyDescent="0.4">
      <c r="B3" s="255"/>
      <c r="C3" s="273"/>
      <c r="D3" s="273"/>
      <c r="E3" s="273"/>
      <c r="F3" s="273"/>
      <c r="G3" s="273"/>
      <c r="H3" s="273"/>
      <c r="I3" s="272"/>
      <c r="J3" s="273"/>
      <c r="K3" s="273"/>
      <c r="L3" s="273"/>
      <c r="M3" s="273"/>
      <c r="N3" s="274"/>
      <c r="P3" s="350"/>
      <c r="Q3" s="351"/>
      <c r="R3" s="351"/>
      <c r="S3" s="351"/>
      <c r="T3" s="351"/>
      <c r="U3" s="351"/>
      <c r="V3" s="352"/>
      <c r="W3" s="221"/>
      <c r="X3" s="361" t="s">
        <v>285</v>
      </c>
      <c r="Y3" s="361"/>
    </row>
    <row r="4" spans="2:26" ht="23.5" customHeight="1" x14ac:dyDescent="0.35">
      <c r="B4" s="255"/>
      <c r="C4" s="285" t="s">
        <v>276</v>
      </c>
      <c r="D4" s="286"/>
      <c r="E4" s="286"/>
      <c r="F4" s="290">
        <f>X14</f>
        <v>549882.16810683429</v>
      </c>
      <c r="G4" s="291"/>
      <c r="H4" s="292"/>
      <c r="I4" s="289" t="s">
        <v>276</v>
      </c>
      <c r="J4" s="286"/>
      <c r="K4" s="286"/>
      <c r="L4" s="290">
        <f>F4</f>
        <v>549882.16810683429</v>
      </c>
      <c r="M4" s="291"/>
      <c r="N4" s="292"/>
      <c r="P4" s="350"/>
      <c r="Q4" s="351"/>
      <c r="R4" s="351"/>
      <c r="S4" s="351"/>
      <c r="T4" s="351"/>
      <c r="U4" s="351"/>
      <c r="V4" s="352"/>
      <c r="W4" s="221"/>
      <c r="X4" s="362"/>
      <c r="Y4" s="362"/>
    </row>
    <row r="5" spans="2:26" ht="26.5" customHeight="1" thickBot="1" x14ac:dyDescent="0.4">
      <c r="B5" s="256"/>
      <c r="C5" s="287" t="s">
        <v>263</v>
      </c>
      <c r="D5" s="288"/>
      <c r="E5" s="288"/>
      <c r="F5" s="294">
        <f>IF(X19&gt;=128000, X19, 150000)</f>
        <v>150000</v>
      </c>
      <c r="G5" s="295"/>
      <c r="H5" s="296"/>
      <c r="I5" s="293" t="s">
        <v>263</v>
      </c>
      <c r="J5" s="288"/>
      <c r="K5" s="288"/>
      <c r="L5" s="294">
        <f>IF(X19&lt;128000, X19, 88000)</f>
        <v>88000</v>
      </c>
      <c r="M5" s="295"/>
      <c r="N5" s="296"/>
      <c r="P5" s="350"/>
      <c r="Q5" s="351"/>
      <c r="R5" s="351"/>
      <c r="S5" s="351"/>
      <c r="T5" s="351"/>
      <c r="U5" s="351"/>
      <c r="V5" s="352"/>
      <c r="W5" s="239"/>
      <c r="X5" s="364">
        <v>350000</v>
      </c>
      <c r="Y5" s="365"/>
    </row>
    <row r="6" spans="2:26" ht="29.5" customHeight="1" thickBot="1" x14ac:dyDescent="0.4">
      <c r="B6" s="190" t="s">
        <v>3</v>
      </c>
      <c r="C6" s="215" t="s">
        <v>228</v>
      </c>
      <c r="D6" s="215" t="s">
        <v>229</v>
      </c>
      <c r="E6" s="308" t="s">
        <v>230</v>
      </c>
      <c r="F6" s="309"/>
      <c r="G6" s="308" t="s">
        <v>231</v>
      </c>
      <c r="H6" s="309"/>
      <c r="I6" s="215" t="s">
        <v>228</v>
      </c>
      <c r="J6" s="215" t="s">
        <v>229</v>
      </c>
      <c r="K6" s="308" t="s">
        <v>230</v>
      </c>
      <c r="L6" s="309"/>
      <c r="M6" s="308" t="s">
        <v>231</v>
      </c>
      <c r="N6" s="309"/>
      <c r="P6" s="353"/>
      <c r="Q6" s="354"/>
      <c r="R6" s="354"/>
      <c r="S6" s="354"/>
      <c r="T6" s="354"/>
      <c r="U6" s="354"/>
      <c r="V6" s="352"/>
      <c r="X6" s="241"/>
      <c r="Y6" s="241"/>
      <c r="Z6" s="9"/>
    </row>
    <row r="7" spans="2:26" ht="15.5" customHeight="1" x14ac:dyDescent="0.35">
      <c r="B7" s="189" t="s">
        <v>253</v>
      </c>
      <c r="C7" s="210">
        <f>'Property Tax Calc'!I50</f>
        <v>8370.8541952530486</v>
      </c>
      <c r="D7" s="210">
        <f>'Property Tax Calc'!I51</f>
        <v>8370.8541952530486</v>
      </c>
      <c r="E7" s="312">
        <f t="shared" ref="E7:E17" si="0">D7-C7</f>
        <v>0</v>
      </c>
      <c r="F7" s="313"/>
      <c r="G7" s="310">
        <f t="shared" ref="G7:G17" si="1">E7/C7</f>
        <v>0</v>
      </c>
      <c r="H7" s="311"/>
      <c r="I7" s="210">
        <f>'Prebate-Rebate'!I51</f>
        <v>4939.3962176150962</v>
      </c>
      <c r="J7" s="210">
        <f>'Prebate-Rebate'!I52</f>
        <v>4939.3962176150962</v>
      </c>
      <c r="K7" s="312">
        <f>J7-I7</f>
        <v>0</v>
      </c>
      <c r="L7" s="313"/>
      <c r="M7" s="251">
        <f>K7/I7</f>
        <v>0</v>
      </c>
      <c r="N7" s="252"/>
      <c r="P7" s="355"/>
      <c r="Q7" s="356"/>
      <c r="R7" s="356"/>
      <c r="S7" s="356"/>
      <c r="T7" s="356"/>
      <c r="U7" s="356"/>
      <c r="V7" s="357"/>
      <c r="W7" s="221"/>
      <c r="X7" s="363" t="s">
        <v>286</v>
      </c>
      <c r="Y7" s="363"/>
      <c r="Z7" s="363"/>
    </row>
    <row r="8" spans="2:26" ht="15.5" customHeight="1" x14ac:dyDescent="0.35">
      <c r="B8" s="187" t="s">
        <v>245</v>
      </c>
      <c r="C8" s="211">
        <f>'Property Tax Calc'!M50</f>
        <v>9423.664475213116</v>
      </c>
      <c r="D8" s="211">
        <f>'Property Tax Calc'!M51</f>
        <v>10935.810236105954</v>
      </c>
      <c r="E8" s="249">
        <f t="shared" si="0"/>
        <v>1512.1457608928376</v>
      </c>
      <c r="F8" s="250"/>
      <c r="G8" s="251">
        <f t="shared" si="1"/>
        <v>0.16046260611996593</v>
      </c>
      <c r="H8" s="252"/>
      <c r="I8" s="211">
        <f>'Prebate-Rebate'!M51</f>
        <v>5570.1986756281476</v>
      </c>
      <c r="J8" s="211">
        <f>'Prebate-Rebate'!M52</f>
        <v>6464.0072717254243</v>
      </c>
      <c r="K8" s="249">
        <f>J8-I8</f>
        <v>893.80859609727668</v>
      </c>
      <c r="L8" s="250"/>
      <c r="M8" s="251">
        <f>K8/I8</f>
        <v>0.16046260611996618</v>
      </c>
      <c r="N8" s="252"/>
      <c r="P8" s="358"/>
      <c r="Q8" s="359"/>
      <c r="R8" s="359"/>
      <c r="S8" s="359"/>
      <c r="T8" s="359"/>
      <c r="U8" s="359"/>
      <c r="V8" s="360"/>
      <c r="W8" s="221"/>
      <c r="X8" s="363"/>
      <c r="Y8" s="363"/>
      <c r="Z8" s="363"/>
    </row>
    <row r="9" spans="2:26" ht="16" customHeight="1" x14ac:dyDescent="0.45">
      <c r="B9" s="187" t="s">
        <v>256</v>
      </c>
      <c r="C9" s="211">
        <f>'Property Tax Calc'!N50</f>
        <v>9465.6820177389491</v>
      </c>
      <c r="D9" s="211">
        <f>'Property Tax Calc'!N51</f>
        <v>10978.248102078878</v>
      </c>
      <c r="E9" s="249">
        <f t="shared" si="0"/>
        <v>1512.5660843399291</v>
      </c>
      <c r="F9" s="250"/>
      <c r="G9" s="251">
        <f t="shared" si="1"/>
        <v>0.15979472810362091</v>
      </c>
      <c r="H9" s="252"/>
      <c r="I9" s="211">
        <f>'Prebate-Rebate'!N51</f>
        <v>5595.0346680752627</v>
      </c>
      <c r="J9" s="211">
        <f>'Prebate-Rebate'!N52</f>
        <v>6489.0917115906832</v>
      </c>
      <c r="K9" s="249">
        <f t="shared" ref="K9:K11" si="2">J9-I9</f>
        <v>894.05704351542045</v>
      </c>
      <c r="L9" s="250"/>
      <c r="M9" s="251">
        <f t="shared" ref="M9:M10" si="3">K9/I9</f>
        <v>0.15979472810362108</v>
      </c>
      <c r="N9" s="252"/>
      <c r="P9" s="231" t="s">
        <v>265</v>
      </c>
      <c r="Q9" s="232" t="s">
        <v>266</v>
      </c>
      <c r="R9" s="232" t="s">
        <v>165</v>
      </c>
      <c r="S9" s="232" t="s">
        <v>166</v>
      </c>
      <c r="T9" s="232" t="s">
        <v>167</v>
      </c>
      <c r="U9" s="232" t="s">
        <v>168</v>
      </c>
      <c r="V9" s="233" t="s">
        <v>169</v>
      </c>
      <c r="W9" s="221"/>
      <c r="X9" s="366" t="s">
        <v>169</v>
      </c>
      <c r="Y9" s="367"/>
    </row>
    <row r="10" spans="2:26" ht="15" thickBot="1" x14ac:dyDescent="0.4">
      <c r="B10" s="187" t="s">
        <v>257</v>
      </c>
      <c r="C10" s="211">
        <f>'Property Tax Calc'!O50</f>
        <v>9465.6820177389491</v>
      </c>
      <c r="D10" s="211">
        <f>'Property Tax Calc'!O51</f>
        <v>10976.910782649047</v>
      </c>
      <c r="E10" s="249">
        <f t="shared" si="0"/>
        <v>1511.2287649100981</v>
      </c>
      <c r="F10" s="250"/>
      <c r="G10" s="251">
        <f t="shared" si="1"/>
        <v>0.15965344727173528</v>
      </c>
      <c r="H10" s="252"/>
      <c r="I10" s="211">
        <f>'Prebate-Rebate'!O51</f>
        <v>5595.0346680752627</v>
      </c>
      <c r="J10" s="211">
        <f>'Prebate-Rebate'!O52</f>
        <v>6488.301240438348</v>
      </c>
      <c r="K10" s="249">
        <f t="shared" si="2"/>
        <v>893.26657236308529</v>
      </c>
      <c r="L10" s="250"/>
      <c r="M10" s="251">
        <f t="shared" si="3"/>
        <v>0.15965344727173536</v>
      </c>
      <c r="N10" s="252"/>
      <c r="P10" s="218">
        <v>0.64359999999999995</v>
      </c>
      <c r="Q10" s="219">
        <v>0.74319999999999997</v>
      </c>
      <c r="R10" s="219">
        <v>0.52349999999999997</v>
      </c>
      <c r="S10" s="219">
        <v>0.62250000000000005</v>
      </c>
      <c r="T10" s="219">
        <v>1.0053000000000001</v>
      </c>
      <c r="U10" s="219">
        <v>0.76429999999999998</v>
      </c>
      <c r="V10" s="220">
        <v>0.63649999999999995</v>
      </c>
      <c r="W10" s="221"/>
      <c r="X10" s="242" t="s">
        <v>292</v>
      </c>
      <c r="Y10" s="240">
        <f>IF(X9=P9, P10,IF(X9=Q9,Q10,IF(X9=R9,R10,IF(X9=S9,S10,IF(X9=T9,T10,IF(X9=U9,U10,IF(X9=V9,V10,0)))))))</f>
        <v>0.63649999999999995</v>
      </c>
    </row>
    <row r="11" spans="2:26" ht="14.5" customHeight="1" x14ac:dyDescent="0.35">
      <c r="B11" s="187" t="s">
        <v>258</v>
      </c>
      <c r="C11" s="211">
        <f>'Property Tax Calc'!P50</f>
        <v>9465.6820177389491</v>
      </c>
      <c r="D11" s="211">
        <f>'Property Tax Calc'!P51</f>
        <v>10973.934214078625</v>
      </c>
      <c r="E11" s="249">
        <f t="shared" si="0"/>
        <v>1508.2521963396757</v>
      </c>
      <c r="F11" s="250"/>
      <c r="G11" s="251">
        <f t="shared" si="1"/>
        <v>0.15933898830672419</v>
      </c>
      <c r="H11" s="252"/>
      <c r="I11" s="211">
        <f>'Prebate-Rebate'!P51</f>
        <v>5595.0346680752627</v>
      </c>
      <c r="J11" s="211">
        <f>'Prebate-Rebate'!P52</f>
        <v>6486.5418316274245</v>
      </c>
      <c r="K11" s="249">
        <f t="shared" si="2"/>
        <v>891.50716355216173</v>
      </c>
      <c r="L11" s="250"/>
      <c r="M11" s="251">
        <f>K11/I11</f>
        <v>0.15933898830672436</v>
      </c>
      <c r="N11" s="252"/>
      <c r="P11" s="257" t="s">
        <v>294</v>
      </c>
      <c r="Q11" s="258"/>
      <c r="R11" s="258"/>
      <c r="S11" s="258"/>
      <c r="T11" s="258"/>
      <c r="U11" s="258"/>
      <c r="V11" s="259"/>
      <c r="W11" s="221"/>
    </row>
    <row r="12" spans="2:26" x14ac:dyDescent="0.35">
      <c r="B12" s="187" t="s">
        <v>246</v>
      </c>
      <c r="C12" s="211">
        <f>'Property Tax Calc'!Q50</f>
        <v>9465.6820177389491</v>
      </c>
      <c r="D12" s="211">
        <f>'Property Tax Calc'!Q51</f>
        <v>10969.430792751698</v>
      </c>
      <c r="E12" s="249">
        <f t="shared" si="0"/>
        <v>1503.7487750127493</v>
      </c>
      <c r="F12" s="250"/>
      <c r="G12" s="303">
        <f t="shared" si="1"/>
        <v>0.15886322530111224</v>
      </c>
      <c r="H12" s="251"/>
      <c r="I12" s="211">
        <f>'Prebate-Rebate'!Q51</f>
        <v>5595.0346680752627</v>
      </c>
      <c r="J12" s="211">
        <f>'Prebate-Rebate'!Q52</f>
        <v>6483.8799211172363</v>
      </c>
      <c r="K12" s="249">
        <f t="shared" ref="K12:K17" si="4">J12-I12</f>
        <v>888.84525304197359</v>
      </c>
      <c r="L12" s="250"/>
      <c r="M12" s="251">
        <f t="shared" ref="M12:M17" si="5">K12/I12</f>
        <v>0.15886322530111213</v>
      </c>
      <c r="N12" s="252"/>
      <c r="P12" s="260"/>
      <c r="Q12" s="261"/>
      <c r="R12" s="261"/>
      <c r="S12" s="261"/>
      <c r="T12" s="261"/>
      <c r="U12" s="261"/>
      <c r="V12" s="262"/>
      <c r="W12" s="221"/>
      <c r="X12" s="345" t="s">
        <v>290</v>
      </c>
      <c r="Y12" s="345"/>
      <c r="Z12" s="238"/>
    </row>
    <row r="13" spans="2:26" ht="14.5" customHeight="1" x14ac:dyDescent="0.35">
      <c r="B13" s="187" t="s">
        <v>259</v>
      </c>
      <c r="C13" s="211">
        <f>'Property Tax Calc'!V50</f>
        <v>9465.6820177389491</v>
      </c>
      <c r="D13" s="211">
        <f>'Property Tax Calc'!V51</f>
        <v>10720.211571841901</v>
      </c>
      <c r="E13" s="249">
        <f t="shared" si="0"/>
        <v>1254.5295541029518</v>
      </c>
      <c r="F13" s="250"/>
      <c r="G13" s="251">
        <f t="shared" si="1"/>
        <v>0.13253451275374864</v>
      </c>
      <c r="H13" s="252"/>
      <c r="I13" s="211">
        <f>'Prebate-Rebate'!V51</f>
        <v>5595.0346680752627</v>
      </c>
      <c r="J13" s="211">
        <f>'Prebate-Rebate'!V52</f>
        <v>6336.5698616489517</v>
      </c>
      <c r="K13" s="249">
        <f t="shared" si="4"/>
        <v>741.53519357368896</v>
      </c>
      <c r="L13" s="250"/>
      <c r="M13" s="251">
        <f t="shared" si="5"/>
        <v>0.13253451275374906</v>
      </c>
      <c r="N13" s="252"/>
      <c r="P13" s="260"/>
      <c r="Q13" s="261"/>
      <c r="R13" s="261"/>
      <c r="S13" s="261"/>
      <c r="T13" s="261"/>
      <c r="U13" s="261"/>
      <c r="V13" s="262"/>
      <c r="W13" s="221"/>
      <c r="X13" s="346"/>
      <c r="Y13" s="346"/>
      <c r="Z13" s="237"/>
    </row>
    <row r="14" spans="2:26" ht="15" thickBot="1" x14ac:dyDescent="0.4">
      <c r="B14" s="187" t="s">
        <v>247</v>
      </c>
      <c r="C14" s="212">
        <f>'Property Tax Calc'!AA50</f>
        <v>9465.6820177389454</v>
      </c>
      <c r="D14" s="212">
        <f>'Property Tax Calc'!AA51</f>
        <v>10427.275765278095</v>
      </c>
      <c r="E14" s="249">
        <f t="shared" si="0"/>
        <v>961.59374753914926</v>
      </c>
      <c r="F14" s="250"/>
      <c r="G14" s="251">
        <f t="shared" si="1"/>
        <v>0.10158737064451315</v>
      </c>
      <c r="H14" s="253"/>
      <c r="I14" s="211">
        <f>'Prebate-Rebate'!AA51</f>
        <v>5595.0346680752609</v>
      </c>
      <c r="J14" s="211">
        <f>'Prebate-Rebate'!AA52</f>
        <v>6163.4195286699241</v>
      </c>
      <c r="K14" s="249">
        <f t="shared" si="4"/>
        <v>568.38486059466322</v>
      </c>
      <c r="L14" s="250"/>
      <c r="M14" s="251">
        <f t="shared" si="5"/>
        <v>0.10158737064451334</v>
      </c>
      <c r="N14" s="252"/>
      <c r="P14" s="263"/>
      <c r="Q14" s="264"/>
      <c r="R14" s="264"/>
      <c r="S14" s="264"/>
      <c r="T14" s="264"/>
      <c r="U14" s="264"/>
      <c r="V14" s="265"/>
      <c r="W14" s="221"/>
      <c r="X14" s="341">
        <f>X5/Y10</f>
        <v>549882.16810683429</v>
      </c>
      <c r="Y14" s="342"/>
    </row>
    <row r="15" spans="2:26" x14ac:dyDescent="0.35">
      <c r="B15" s="187" t="s">
        <v>248</v>
      </c>
      <c r="C15" s="212">
        <f>'Property Tax Calc'!AF50</f>
        <v>9465.6820177389436</v>
      </c>
      <c r="D15" s="212">
        <f>'Property Tax Calc'!AF51</f>
        <v>10195.594680174218</v>
      </c>
      <c r="E15" s="249">
        <f t="shared" si="0"/>
        <v>729.91266243527389</v>
      </c>
      <c r="F15" s="250"/>
      <c r="G15" s="251">
        <f t="shared" si="1"/>
        <v>7.7111470791792688E-2</v>
      </c>
      <c r="H15" s="253"/>
      <c r="I15" s="211">
        <f>'Prebate-Rebate'!AF51</f>
        <v>5595.0346680752609</v>
      </c>
      <c r="J15" s="211">
        <f>'Prebate-Rebate'!AF52</f>
        <v>6026.4760204616141</v>
      </c>
      <c r="K15" s="249">
        <f t="shared" si="4"/>
        <v>431.44135238635317</v>
      </c>
      <c r="L15" s="250"/>
      <c r="M15" s="251">
        <f t="shared" si="5"/>
        <v>7.7111470791792716E-2</v>
      </c>
      <c r="N15" s="252"/>
      <c r="P15" s="368">
        <f>'Property Tax Calc'!E49</f>
        <v>549882.16810683429</v>
      </c>
      <c r="Q15" s="369"/>
      <c r="R15" s="282" t="s">
        <v>261</v>
      </c>
      <c r="S15" s="283"/>
      <c r="T15" s="276"/>
      <c r="U15" s="276"/>
      <c r="V15" s="277"/>
      <c r="W15" s="221"/>
      <c r="X15" s="343"/>
      <c r="Y15" s="344"/>
    </row>
    <row r="16" spans="2:26" ht="14.5" customHeight="1" x14ac:dyDescent="0.35">
      <c r="B16" s="187" t="s">
        <v>249</v>
      </c>
      <c r="C16" s="212">
        <f>'Property Tax Calc'!AK50</f>
        <v>9465.6820177389454</v>
      </c>
      <c r="D16" s="212">
        <f>'Property Tax Calc'!AK51</f>
        <v>10013.123870804286</v>
      </c>
      <c r="E16" s="249">
        <f t="shared" si="0"/>
        <v>547.44185306534018</v>
      </c>
      <c r="F16" s="250"/>
      <c r="G16" s="251">
        <f t="shared" si="1"/>
        <v>5.7834380242165251E-2</v>
      </c>
      <c r="H16" s="253"/>
      <c r="I16" s="211">
        <f>'Prebate-Rebate'!AK51</f>
        <v>5595.0346680752609</v>
      </c>
      <c r="J16" s="211">
        <f>'Prebate-Rebate'!AK52</f>
        <v>5918.6200305368238</v>
      </c>
      <c r="K16" s="249">
        <f t="shared" si="4"/>
        <v>323.58536246156291</v>
      </c>
      <c r="L16" s="250"/>
      <c r="M16" s="251">
        <f t="shared" si="5"/>
        <v>5.7834380242165508E-2</v>
      </c>
      <c r="N16" s="252"/>
      <c r="P16" s="368"/>
      <c r="Q16" s="369"/>
      <c r="R16" s="282"/>
      <c r="S16" s="283"/>
      <c r="T16" s="276"/>
      <c r="U16" s="276"/>
      <c r="V16" s="277"/>
      <c r="W16" s="221"/>
      <c r="X16" s="221"/>
    </row>
    <row r="17" spans="2:25" ht="15" customHeight="1" thickBot="1" x14ac:dyDescent="0.4">
      <c r="B17" s="188" t="s">
        <v>250</v>
      </c>
      <c r="C17" s="213">
        <f>'Property Tax Calc'!AP50</f>
        <v>9465.6820177389454</v>
      </c>
      <c r="D17" s="213">
        <f>'Property Tax Calc'!AP51</f>
        <v>9870.0959003662374</v>
      </c>
      <c r="E17" s="301">
        <f t="shared" si="0"/>
        <v>404.41388262729197</v>
      </c>
      <c r="F17" s="302"/>
      <c r="G17" s="314">
        <f t="shared" si="1"/>
        <v>4.2724220174458573E-2</v>
      </c>
      <c r="H17" s="315"/>
      <c r="I17" s="214">
        <f>'Prebate-Rebate'!AP51</f>
        <v>5595.0346680752609</v>
      </c>
      <c r="J17" s="214">
        <f>'Prebate-Rebate'!AP52</f>
        <v>5834.0781611178381</v>
      </c>
      <c r="K17" s="301">
        <f t="shared" si="4"/>
        <v>239.04349304257721</v>
      </c>
      <c r="L17" s="302"/>
      <c r="M17" s="251">
        <f t="shared" si="5"/>
        <v>4.2724220174458753E-2</v>
      </c>
      <c r="N17" s="252"/>
      <c r="P17" s="297">
        <f>E10</f>
        <v>1511.2287649100981</v>
      </c>
      <c r="Q17" s="298"/>
      <c r="R17" s="282" t="s">
        <v>262</v>
      </c>
      <c r="S17" s="283"/>
      <c r="T17" s="276"/>
      <c r="U17" s="276"/>
      <c r="V17" s="277"/>
      <c r="W17" s="221"/>
      <c r="X17" s="335" t="s">
        <v>287</v>
      </c>
      <c r="Y17" s="335"/>
    </row>
    <row r="18" spans="2:25" ht="15" customHeight="1" thickBot="1" x14ac:dyDescent="0.4">
      <c r="B18" s="266"/>
      <c r="C18" s="306" t="s">
        <v>277</v>
      </c>
      <c r="D18" s="307"/>
      <c r="E18" s="307"/>
      <c r="F18" s="307"/>
      <c r="G18" s="316" t="s">
        <v>42</v>
      </c>
      <c r="H18" s="317"/>
      <c r="I18" s="306" t="s">
        <v>278</v>
      </c>
      <c r="J18" s="307"/>
      <c r="K18" s="307"/>
      <c r="L18" s="307"/>
      <c r="M18" s="307"/>
      <c r="N18" s="307"/>
      <c r="P18" s="299"/>
      <c r="Q18" s="300"/>
      <c r="R18" s="282"/>
      <c r="S18" s="283"/>
      <c r="T18" s="276"/>
      <c r="U18" s="276"/>
      <c r="V18" s="277"/>
      <c r="W18" s="221"/>
      <c r="X18" s="336"/>
      <c r="Y18" s="336"/>
    </row>
    <row r="19" spans="2:25" ht="15.5" customHeight="1" x14ac:dyDescent="0.35">
      <c r="B19" s="267"/>
      <c r="C19" s="304" t="s">
        <v>120</v>
      </c>
      <c r="D19" s="305"/>
      <c r="E19" s="305"/>
      <c r="F19" s="305"/>
      <c r="G19" s="318">
        <v>99000000</v>
      </c>
      <c r="H19" s="319"/>
      <c r="I19" s="247" t="s">
        <v>271</v>
      </c>
      <c r="J19" s="247"/>
      <c r="K19" s="247"/>
      <c r="L19" s="247"/>
      <c r="M19" s="247"/>
      <c r="N19" s="248"/>
      <c r="O19" s="222"/>
      <c r="P19" s="370">
        <f xml:space="preserve"> E10/12</f>
        <v>125.93573040917484</v>
      </c>
      <c r="Q19" s="371"/>
      <c r="R19" s="282" t="s">
        <v>260</v>
      </c>
      <c r="S19" s="283"/>
      <c r="T19" s="276"/>
      <c r="U19" s="276"/>
      <c r="V19" s="277"/>
      <c r="W19" s="221"/>
      <c r="X19" s="337">
        <v>150000</v>
      </c>
      <c r="Y19" s="338"/>
    </row>
    <row r="20" spans="2:25" ht="16" thickBot="1" x14ac:dyDescent="0.4">
      <c r="B20" s="267"/>
      <c r="C20" s="304" t="s">
        <v>72</v>
      </c>
      <c r="D20" s="305"/>
      <c r="E20" s="305"/>
      <c r="F20" s="305"/>
      <c r="G20" s="323">
        <v>3.5999999999999997E-2</v>
      </c>
      <c r="H20" s="324"/>
      <c r="I20" s="247" t="s">
        <v>272</v>
      </c>
      <c r="J20" s="247"/>
      <c r="K20" s="247"/>
      <c r="L20" s="247"/>
      <c r="M20" s="247"/>
      <c r="N20" s="248"/>
      <c r="O20" s="222"/>
      <c r="P20" s="372"/>
      <c r="Q20" s="373"/>
      <c r="R20" s="282"/>
      <c r="S20" s="283"/>
      <c r="T20" s="276"/>
      <c r="U20" s="276"/>
      <c r="V20" s="277"/>
      <c r="W20" s="221"/>
      <c r="X20" s="339"/>
      <c r="Y20" s="340"/>
    </row>
    <row r="21" spans="2:25" ht="15.5" x14ac:dyDescent="0.35">
      <c r="B21" s="267"/>
      <c r="C21" s="331" t="s">
        <v>268</v>
      </c>
      <c r="D21" s="305"/>
      <c r="E21" s="305"/>
      <c r="F21" s="305"/>
      <c r="G21" s="325">
        <v>40</v>
      </c>
      <c r="H21" s="326"/>
      <c r="I21" s="247" t="s">
        <v>273</v>
      </c>
      <c r="J21" s="247"/>
      <c r="K21" s="247"/>
      <c r="L21" s="247"/>
      <c r="M21" s="247"/>
      <c r="N21" s="248"/>
      <c r="O21" s="222"/>
      <c r="P21" s="243">
        <f>E10/365</f>
        <v>4.1403527805756113</v>
      </c>
      <c r="Q21" s="244"/>
      <c r="R21" s="275" t="s">
        <v>267</v>
      </c>
      <c r="S21" s="276"/>
      <c r="T21" s="276"/>
      <c r="U21" s="276"/>
      <c r="V21" s="277"/>
      <c r="W21" s="221"/>
      <c r="X21" s="221"/>
    </row>
    <row r="22" spans="2:25" ht="16" thickBot="1" x14ac:dyDescent="0.4">
      <c r="B22" s="267"/>
      <c r="C22" s="332" t="s">
        <v>288</v>
      </c>
      <c r="D22" s="305"/>
      <c r="E22" s="305"/>
      <c r="F22" s="305"/>
      <c r="G22" s="327">
        <v>0</v>
      </c>
      <c r="H22" s="328"/>
      <c r="I22" s="320" t="s">
        <v>279</v>
      </c>
      <c r="J22" s="320"/>
      <c r="K22" s="320"/>
      <c r="L22" s="320"/>
      <c r="M22" s="320"/>
      <c r="N22" s="248"/>
      <c r="O22" s="222"/>
      <c r="P22" s="245"/>
      <c r="Q22" s="246"/>
      <c r="R22" s="284"/>
      <c r="S22" s="276"/>
      <c r="T22" s="276"/>
      <c r="U22" s="276"/>
      <c r="V22" s="277"/>
      <c r="W22" s="221"/>
      <c r="X22" s="221"/>
    </row>
    <row r="23" spans="2:25" ht="15.5" x14ac:dyDescent="0.35">
      <c r="B23" s="267"/>
      <c r="C23" s="331" t="s">
        <v>269</v>
      </c>
      <c r="D23" s="305"/>
      <c r="E23" s="305"/>
      <c r="F23" s="305"/>
      <c r="G23" s="325">
        <v>0</v>
      </c>
      <c r="H23" s="326"/>
      <c r="I23" s="247" t="s">
        <v>274</v>
      </c>
      <c r="J23" s="247"/>
      <c r="K23" s="247"/>
      <c r="L23" s="247"/>
      <c r="M23" s="247"/>
      <c r="N23" s="248"/>
      <c r="O23" s="222"/>
      <c r="P23" s="243">
        <f>K10/365</f>
        <v>2.447305677707083</v>
      </c>
      <c r="Q23" s="244"/>
      <c r="R23" s="275" t="s">
        <v>264</v>
      </c>
      <c r="S23" s="276"/>
      <c r="T23" s="276"/>
      <c r="U23" s="276"/>
      <c r="V23" s="277"/>
      <c r="W23" s="221"/>
      <c r="X23" s="221"/>
    </row>
    <row r="24" spans="2:25" ht="16" thickBot="1" x14ac:dyDescent="0.4">
      <c r="B24" s="268"/>
      <c r="C24" s="333" t="s">
        <v>270</v>
      </c>
      <c r="D24" s="334"/>
      <c r="E24" s="334"/>
      <c r="F24" s="334"/>
      <c r="G24" s="329">
        <v>0</v>
      </c>
      <c r="H24" s="330"/>
      <c r="I24" s="321" t="s">
        <v>275</v>
      </c>
      <c r="J24" s="321"/>
      <c r="K24" s="321"/>
      <c r="L24" s="321"/>
      <c r="M24" s="321"/>
      <c r="N24" s="322"/>
      <c r="O24" s="222"/>
      <c r="P24" s="245"/>
      <c r="Q24" s="246"/>
      <c r="R24" s="278"/>
      <c r="S24" s="279"/>
      <c r="T24" s="279"/>
      <c r="U24" s="279"/>
      <c r="V24" s="280"/>
      <c r="W24" s="221"/>
      <c r="X24" s="221"/>
    </row>
    <row r="25" spans="2:25" x14ac:dyDescent="0.35">
      <c r="B25" s="221"/>
      <c r="C25" s="224"/>
      <c r="D25" s="224"/>
      <c r="E25" s="224"/>
      <c r="F25" s="224"/>
      <c r="G25" s="224"/>
      <c r="H25" s="224"/>
      <c r="I25" s="224"/>
      <c r="J25" s="224"/>
      <c r="K25" s="224"/>
      <c r="L25" s="224"/>
      <c r="M25" s="224"/>
      <c r="N25" s="224"/>
      <c r="P25" s="221"/>
      <c r="Q25" s="221"/>
      <c r="R25" s="223"/>
      <c r="S25" s="221"/>
      <c r="T25" s="221"/>
      <c r="U25" s="221"/>
      <c r="V25" s="221"/>
      <c r="W25" s="221"/>
      <c r="X25" s="221"/>
    </row>
    <row r="26" spans="2:25" x14ac:dyDescent="0.35">
      <c r="B26" s="221"/>
      <c r="C26" s="221"/>
      <c r="D26" s="221"/>
      <c r="E26" s="221"/>
      <c r="F26" s="221"/>
      <c r="G26" s="221"/>
      <c r="H26" s="221"/>
      <c r="I26" s="221"/>
      <c r="J26" s="221"/>
      <c r="K26" s="221"/>
      <c r="L26" s="221"/>
      <c r="M26" s="221"/>
      <c r="N26" s="221"/>
      <c r="P26" s="221"/>
      <c r="Q26" s="221"/>
      <c r="R26" s="223"/>
      <c r="S26" s="221"/>
      <c r="T26" s="221"/>
      <c r="U26" s="221"/>
      <c r="V26" s="221"/>
      <c r="W26" s="221"/>
      <c r="X26" s="221"/>
    </row>
    <row r="27" spans="2:25" x14ac:dyDescent="0.35">
      <c r="B27" s="221"/>
      <c r="C27" s="221"/>
      <c r="D27" s="221"/>
      <c r="E27" s="221"/>
      <c r="F27" s="221"/>
      <c r="G27" s="221"/>
      <c r="H27" s="221"/>
      <c r="I27" s="221"/>
      <c r="J27" s="221"/>
      <c r="K27" s="221"/>
      <c r="L27" s="221"/>
      <c r="M27" s="221"/>
      <c r="N27" s="221"/>
      <c r="P27" s="221"/>
      <c r="Q27" s="221"/>
      <c r="R27" s="223"/>
      <c r="S27" s="221"/>
      <c r="T27" s="221"/>
      <c r="U27" s="221"/>
      <c r="V27" s="221"/>
      <c r="W27" s="221"/>
      <c r="X27" s="221"/>
    </row>
    <row r="28" spans="2:25" x14ac:dyDescent="0.35">
      <c r="B28" s="221">
        <f>600000*0.5235</f>
        <v>314100</v>
      </c>
      <c r="C28" s="221"/>
      <c r="D28" s="221"/>
      <c r="E28" s="221"/>
      <c r="F28" s="221"/>
      <c r="G28" s="221"/>
      <c r="H28" s="221"/>
      <c r="I28" s="221"/>
      <c r="J28" s="221"/>
      <c r="K28" s="221"/>
      <c r="L28" s="221"/>
      <c r="M28" s="221"/>
      <c r="N28" s="221"/>
      <c r="P28" s="221"/>
      <c r="Q28" s="221"/>
      <c r="R28" s="223"/>
      <c r="S28" s="221"/>
      <c r="T28" s="221"/>
      <c r="U28" s="221"/>
      <c r="V28" s="221"/>
      <c r="W28" s="221"/>
      <c r="X28" s="221"/>
    </row>
    <row r="29" spans="2:25" x14ac:dyDescent="0.35">
      <c r="B29" s="221"/>
      <c r="C29" s="221"/>
      <c r="D29" s="221"/>
      <c r="E29" s="221"/>
      <c r="F29" s="221"/>
      <c r="G29" s="221"/>
      <c r="H29" s="221"/>
      <c r="I29" s="221"/>
      <c r="J29" s="221"/>
      <c r="K29" s="221"/>
      <c r="L29" s="221"/>
      <c r="M29" s="221"/>
      <c r="N29" s="221"/>
      <c r="P29" s="221"/>
      <c r="Q29" s="221"/>
      <c r="R29" s="223"/>
      <c r="S29" s="221"/>
      <c r="T29" s="221"/>
      <c r="U29" s="221"/>
      <c r="V29" s="221"/>
      <c r="W29" s="221"/>
      <c r="X29" s="221"/>
    </row>
    <row r="30" spans="2:25" x14ac:dyDescent="0.35">
      <c r="P30" s="221"/>
      <c r="Q30" s="221"/>
      <c r="R30" s="223"/>
      <c r="S30" s="221"/>
      <c r="T30" s="221"/>
      <c r="U30" s="221"/>
      <c r="V30" s="221"/>
      <c r="X30" s="221"/>
    </row>
    <row r="31" spans="2:25" x14ac:dyDescent="0.35">
      <c r="R31" s="169"/>
    </row>
    <row r="32" spans="2:25" x14ac:dyDescent="0.35">
      <c r="R32" s="169"/>
    </row>
    <row r="33" spans="18:18" x14ac:dyDescent="0.35">
      <c r="R33" s="169"/>
    </row>
    <row r="34" spans="18:18" x14ac:dyDescent="0.35">
      <c r="R34" s="41"/>
    </row>
  </sheetData>
  <mergeCells count="101">
    <mergeCell ref="X17:Y18"/>
    <mergeCell ref="X19:Y20"/>
    <mergeCell ref="X14:Y15"/>
    <mergeCell ref="X12:Y13"/>
    <mergeCell ref="P2:V8"/>
    <mergeCell ref="X3:Y4"/>
    <mergeCell ref="X7:Z8"/>
    <mergeCell ref="X5:Y5"/>
    <mergeCell ref="X9:Y9"/>
    <mergeCell ref="P15:Q16"/>
    <mergeCell ref="P19:Q20"/>
    <mergeCell ref="I23:N23"/>
    <mergeCell ref="I24:N24"/>
    <mergeCell ref="G20:H20"/>
    <mergeCell ref="G21:H21"/>
    <mergeCell ref="G22:H22"/>
    <mergeCell ref="G23:H23"/>
    <mergeCell ref="G24:H24"/>
    <mergeCell ref="C21:F21"/>
    <mergeCell ref="C22:F22"/>
    <mergeCell ref="C23:F23"/>
    <mergeCell ref="C24:F24"/>
    <mergeCell ref="M6:N6"/>
    <mergeCell ref="G7:H7"/>
    <mergeCell ref="G8:H8"/>
    <mergeCell ref="G6:H6"/>
    <mergeCell ref="E6:F6"/>
    <mergeCell ref="E7:F7"/>
    <mergeCell ref="E8:F8"/>
    <mergeCell ref="K6:L6"/>
    <mergeCell ref="K7:L7"/>
    <mergeCell ref="K8:L8"/>
    <mergeCell ref="M7:N7"/>
    <mergeCell ref="M8:N8"/>
    <mergeCell ref="C4:E4"/>
    <mergeCell ref="C5:E5"/>
    <mergeCell ref="I4:K4"/>
    <mergeCell ref="L4:N4"/>
    <mergeCell ref="I5:K5"/>
    <mergeCell ref="L5:N5"/>
    <mergeCell ref="F4:H4"/>
    <mergeCell ref="F5:H5"/>
    <mergeCell ref="P23:Q24"/>
    <mergeCell ref="P17:Q18"/>
    <mergeCell ref="G10:H10"/>
    <mergeCell ref="K10:L10"/>
    <mergeCell ref="E17:F17"/>
    <mergeCell ref="G12:H12"/>
    <mergeCell ref="G13:H13"/>
    <mergeCell ref="E12:F12"/>
    <mergeCell ref="E13:F13"/>
    <mergeCell ref="K12:L12"/>
    <mergeCell ref="K13:L13"/>
    <mergeCell ref="E14:F14"/>
    <mergeCell ref="E15:F15"/>
    <mergeCell ref="E16:F16"/>
    <mergeCell ref="K17:L17"/>
    <mergeCell ref="C20:F20"/>
    <mergeCell ref="B2:B5"/>
    <mergeCell ref="P11:V14"/>
    <mergeCell ref="B18:B24"/>
    <mergeCell ref="M9:N9"/>
    <mergeCell ref="M10:N10"/>
    <mergeCell ref="M11:N11"/>
    <mergeCell ref="E11:F11"/>
    <mergeCell ref="G11:H11"/>
    <mergeCell ref="K11:L11"/>
    <mergeCell ref="I2:N3"/>
    <mergeCell ref="M12:N12"/>
    <mergeCell ref="R23:V24"/>
    <mergeCell ref="C2:H3"/>
    <mergeCell ref="R15:V16"/>
    <mergeCell ref="R17:V18"/>
    <mergeCell ref="R19:V20"/>
    <mergeCell ref="R21:V22"/>
    <mergeCell ref="K9:L9"/>
    <mergeCell ref="M13:N13"/>
    <mergeCell ref="M14:N14"/>
    <mergeCell ref="K14:L14"/>
    <mergeCell ref="M15:N15"/>
    <mergeCell ref="M16:N16"/>
    <mergeCell ref="M17:N17"/>
    <mergeCell ref="P21:Q22"/>
    <mergeCell ref="I20:N20"/>
    <mergeCell ref="I21:N21"/>
    <mergeCell ref="E9:F9"/>
    <mergeCell ref="E10:F10"/>
    <mergeCell ref="G9:H9"/>
    <mergeCell ref="K16:L16"/>
    <mergeCell ref="G14:H14"/>
    <mergeCell ref="G16:H16"/>
    <mergeCell ref="C18:F18"/>
    <mergeCell ref="C19:F19"/>
    <mergeCell ref="G17:H17"/>
    <mergeCell ref="K15:L15"/>
    <mergeCell ref="G15:H15"/>
    <mergeCell ref="G18:H18"/>
    <mergeCell ref="I18:N18"/>
    <mergeCell ref="G19:H19"/>
    <mergeCell ref="I19:N19"/>
    <mergeCell ref="I22:N22"/>
  </mergeCells>
  <dataValidations count="1">
    <dataValidation type="list" allowBlank="1" showInputMessage="1" showErrorMessage="1" sqref="X9:Y9" xr:uid="{A5467CD9-9665-426F-9D98-4AF95353570C}">
      <formula1>$P$9:$V$9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7750-4955-4461-B927-FE4FF12E66ED}">
  <dimension ref="A2:AQ105"/>
  <sheetViews>
    <sheetView topLeftCell="A8" workbookViewId="0">
      <selection activeCell="E15" sqref="E15"/>
    </sheetView>
  </sheetViews>
  <sheetFormatPr defaultRowHeight="14.5" x14ac:dyDescent="0.35"/>
  <cols>
    <col min="3" max="3" width="13.6328125" bestFit="1" customWidth="1"/>
    <col min="4" max="4" width="18.1796875" customWidth="1"/>
    <col min="5" max="5" width="14.08984375" customWidth="1"/>
    <col min="6" max="6" width="2.26953125" customWidth="1"/>
    <col min="7" max="7" width="14.7265625" customWidth="1"/>
    <col min="8" max="8" width="2.453125" customWidth="1"/>
    <col min="9" max="9" width="14.7265625" style="102" customWidth="1"/>
    <col min="10" max="10" width="14.453125" style="102" customWidth="1"/>
    <col min="11" max="11" width="14.54296875" style="102" customWidth="1"/>
    <col min="12" max="12" width="14.7265625" style="102" customWidth="1"/>
    <col min="13" max="13" width="15.08984375" style="102" customWidth="1"/>
    <col min="14" max="14" width="15" style="102" customWidth="1"/>
    <col min="15" max="15" width="14.6328125" style="102" bestFit="1" customWidth="1"/>
    <col min="16" max="16" width="14.36328125" style="102" customWidth="1"/>
    <col min="17" max="17" width="14.54296875" style="102" customWidth="1"/>
    <col min="18" max="18" width="14.453125" style="102" customWidth="1"/>
    <col min="19" max="21" width="14.6328125" style="102" bestFit="1" customWidth="1"/>
    <col min="22" max="22" width="14.90625" style="102" customWidth="1"/>
    <col min="23" max="28" width="14.6328125" style="102" bestFit="1" customWidth="1"/>
    <col min="29" max="29" width="14.7265625" style="102" customWidth="1"/>
    <col min="30" max="34" width="14.6328125" style="102" bestFit="1" customWidth="1"/>
    <col min="35" max="35" width="15.36328125" style="102" customWidth="1"/>
    <col min="36" max="36" width="15.90625" style="102" customWidth="1"/>
    <col min="37" max="37" width="15.7265625" style="102" customWidth="1"/>
    <col min="38" max="38" width="15.81640625" customWidth="1"/>
    <col min="39" max="39" width="15.7265625" customWidth="1"/>
    <col min="40" max="40" width="15.54296875" customWidth="1"/>
    <col min="41" max="42" width="14.6328125" bestFit="1" customWidth="1"/>
  </cols>
  <sheetData>
    <row r="2" spans="1:43" x14ac:dyDescent="0.35">
      <c r="A2" s="27" t="s">
        <v>105</v>
      </c>
    </row>
    <row r="4" spans="1:43" ht="15" thickBot="1" x14ac:dyDescent="0.4">
      <c r="A4" s="27" t="s">
        <v>74</v>
      </c>
      <c r="E4" s="31" t="s">
        <v>68</v>
      </c>
      <c r="F4" s="47"/>
      <c r="P4" s="103"/>
      <c r="Q4" s="103"/>
      <c r="R4" s="103"/>
    </row>
    <row r="5" spans="1:43" x14ac:dyDescent="0.35">
      <c r="A5" s="27"/>
      <c r="B5" t="s">
        <v>98</v>
      </c>
      <c r="E5" s="154">
        <f>'Property Tax Calc'!E2</f>
        <v>99000000</v>
      </c>
      <c r="F5" s="47"/>
      <c r="J5" s="393" t="s">
        <v>149</v>
      </c>
      <c r="K5" s="375"/>
      <c r="P5" s="103"/>
      <c r="Q5" s="103"/>
      <c r="R5" s="103"/>
    </row>
    <row r="6" spans="1:43" ht="15" thickBot="1" x14ac:dyDescent="0.4">
      <c r="A6" s="27"/>
      <c r="B6" t="s">
        <v>99</v>
      </c>
      <c r="E6" s="154">
        <f>'Property Tax Calc'!E3</f>
        <v>3500000</v>
      </c>
      <c r="F6" s="47"/>
      <c r="J6" s="376"/>
      <c r="K6" s="377"/>
      <c r="P6" s="103"/>
      <c r="Q6" s="103"/>
      <c r="R6" s="103"/>
    </row>
    <row r="7" spans="1:43" x14ac:dyDescent="0.35">
      <c r="B7" t="s">
        <v>120</v>
      </c>
      <c r="E7" s="60">
        <f>E5</f>
        <v>99000000</v>
      </c>
      <c r="G7" s="123">
        <f>E7</f>
        <v>99000000</v>
      </c>
      <c r="H7" s="44"/>
      <c r="I7" s="124">
        <f>E7</f>
        <v>99000000</v>
      </c>
      <c r="J7" s="124">
        <f>E7</f>
        <v>99000000</v>
      </c>
      <c r="K7" s="124">
        <f>E7</f>
        <v>99000000</v>
      </c>
      <c r="L7" s="124">
        <f>E7</f>
        <v>99000000</v>
      </c>
      <c r="M7" s="124">
        <f>E7</f>
        <v>99000000</v>
      </c>
      <c r="N7" s="124">
        <f>E7</f>
        <v>99000000</v>
      </c>
      <c r="O7" s="124">
        <f>E7</f>
        <v>99000000</v>
      </c>
      <c r="P7" s="123">
        <f>E7</f>
        <v>99000000</v>
      </c>
      <c r="Q7" s="123">
        <f>E7</f>
        <v>99000000</v>
      </c>
      <c r="R7" s="123">
        <f>E7</f>
        <v>99000000</v>
      </c>
      <c r="S7" s="123">
        <f>E7</f>
        <v>99000000</v>
      </c>
      <c r="T7" s="123">
        <f>E7</f>
        <v>99000000</v>
      </c>
      <c r="U7" s="123">
        <f>E7</f>
        <v>99000000</v>
      </c>
      <c r="V7" s="123">
        <f>E7</f>
        <v>99000000</v>
      </c>
      <c r="W7" s="123">
        <f>E7</f>
        <v>99000000</v>
      </c>
      <c r="X7" s="123">
        <f>E7</f>
        <v>99000000</v>
      </c>
      <c r="Y7" s="123">
        <f>E7</f>
        <v>99000000</v>
      </c>
      <c r="Z7" s="123">
        <f>E7</f>
        <v>99000000</v>
      </c>
      <c r="AA7" s="123">
        <f>E7</f>
        <v>99000000</v>
      </c>
      <c r="AB7" s="123">
        <f>E7</f>
        <v>99000000</v>
      </c>
      <c r="AC7" s="123">
        <f>E7</f>
        <v>99000000</v>
      </c>
      <c r="AD7" s="123">
        <f>E7</f>
        <v>99000000</v>
      </c>
      <c r="AE7" s="123">
        <f>E7</f>
        <v>99000000</v>
      </c>
      <c r="AF7" s="123">
        <f>E7</f>
        <v>99000000</v>
      </c>
      <c r="AG7" s="123">
        <f>E7</f>
        <v>99000000</v>
      </c>
      <c r="AH7" s="123">
        <f>E7</f>
        <v>99000000</v>
      </c>
      <c r="AI7" s="123">
        <f>E7</f>
        <v>99000000</v>
      </c>
      <c r="AJ7" s="123">
        <f>E7</f>
        <v>99000000</v>
      </c>
      <c r="AK7" s="123">
        <f>E7</f>
        <v>99000000</v>
      </c>
      <c r="AL7" s="123">
        <f>E7</f>
        <v>99000000</v>
      </c>
      <c r="AM7" s="123">
        <f>E7</f>
        <v>99000000</v>
      </c>
      <c r="AN7" s="123">
        <f>E7</f>
        <v>99000000</v>
      </c>
      <c r="AO7" s="123"/>
      <c r="AP7" s="123"/>
    </row>
    <row r="8" spans="1:43" x14ac:dyDescent="0.35">
      <c r="B8" t="s">
        <v>72</v>
      </c>
      <c r="E8" s="153">
        <f>'Property Tax Calc'!E10</f>
        <v>3.5999999999999997E-2</v>
      </c>
      <c r="F8" s="19"/>
      <c r="G8" s="49">
        <f>E8</f>
        <v>3.5999999999999997E-2</v>
      </c>
      <c r="H8" s="49"/>
      <c r="I8" s="49">
        <f>E8</f>
        <v>3.5999999999999997E-2</v>
      </c>
      <c r="J8" s="49">
        <f>E8</f>
        <v>3.5999999999999997E-2</v>
      </c>
      <c r="K8" s="49">
        <f>E8</f>
        <v>3.5999999999999997E-2</v>
      </c>
      <c r="L8" s="49">
        <f>E8</f>
        <v>3.5999999999999997E-2</v>
      </c>
      <c r="M8" s="49">
        <f>E8</f>
        <v>3.5999999999999997E-2</v>
      </c>
      <c r="N8" s="49">
        <f>E8</f>
        <v>3.5999999999999997E-2</v>
      </c>
      <c r="O8" s="49">
        <f>E8</f>
        <v>3.5999999999999997E-2</v>
      </c>
      <c r="P8" s="68">
        <f>E8</f>
        <v>3.5999999999999997E-2</v>
      </c>
      <c r="Q8" s="68">
        <f>E8</f>
        <v>3.5999999999999997E-2</v>
      </c>
      <c r="R8" s="68">
        <f>E8</f>
        <v>3.5999999999999997E-2</v>
      </c>
      <c r="S8" s="68">
        <f>E8</f>
        <v>3.5999999999999997E-2</v>
      </c>
      <c r="T8" s="68">
        <f>E8</f>
        <v>3.5999999999999997E-2</v>
      </c>
      <c r="U8" s="68">
        <f>E8</f>
        <v>3.5999999999999997E-2</v>
      </c>
      <c r="V8" s="68">
        <f>E8</f>
        <v>3.5999999999999997E-2</v>
      </c>
      <c r="W8" s="68">
        <f>E8</f>
        <v>3.5999999999999997E-2</v>
      </c>
      <c r="X8" s="68">
        <f>E8</f>
        <v>3.5999999999999997E-2</v>
      </c>
      <c r="Y8" s="68">
        <f>E8</f>
        <v>3.5999999999999997E-2</v>
      </c>
      <c r="Z8" s="68">
        <f>E8</f>
        <v>3.5999999999999997E-2</v>
      </c>
      <c r="AA8" s="68">
        <f>E8</f>
        <v>3.5999999999999997E-2</v>
      </c>
      <c r="AB8" s="68">
        <f>E8</f>
        <v>3.5999999999999997E-2</v>
      </c>
      <c r="AC8" s="68">
        <f>E8</f>
        <v>3.5999999999999997E-2</v>
      </c>
      <c r="AD8" s="68">
        <f>E8</f>
        <v>3.5999999999999997E-2</v>
      </c>
      <c r="AE8" s="68">
        <f>E8</f>
        <v>3.5999999999999997E-2</v>
      </c>
      <c r="AF8" s="68">
        <f>E8</f>
        <v>3.5999999999999997E-2</v>
      </c>
      <c r="AG8" s="68">
        <f>E8</f>
        <v>3.5999999999999997E-2</v>
      </c>
      <c r="AH8" s="68">
        <f>E8</f>
        <v>3.5999999999999997E-2</v>
      </c>
      <c r="AI8" s="68">
        <f>E8</f>
        <v>3.5999999999999997E-2</v>
      </c>
      <c r="AJ8" s="68">
        <f>E8</f>
        <v>3.5999999999999997E-2</v>
      </c>
      <c r="AK8" s="68">
        <f>E8</f>
        <v>3.5999999999999997E-2</v>
      </c>
      <c r="AL8" s="68">
        <f>E8</f>
        <v>3.5999999999999997E-2</v>
      </c>
      <c r="AM8" s="68">
        <f>E8</f>
        <v>3.5999999999999997E-2</v>
      </c>
      <c r="AN8" s="68">
        <f>E8</f>
        <v>3.5999999999999997E-2</v>
      </c>
      <c r="AO8" s="68"/>
      <c r="AP8" s="68"/>
    </row>
    <row r="9" spans="1:43" x14ac:dyDescent="0.35">
      <c r="B9" t="s">
        <v>119</v>
      </c>
      <c r="E9" s="152">
        <f>'Property Tax Calc'!E11</f>
        <v>37</v>
      </c>
      <c r="F9" s="68"/>
      <c r="G9" s="67">
        <f>E9</f>
        <v>37</v>
      </c>
      <c r="H9" s="67"/>
      <c r="I9" s="125">
        <f>E9</f>
        <v>37</v>
      </c>
      <c r="J9" s="100">
        <f>E9</f>
        <v>37</v>
      </c>
      <c r="K9" s="100">
        <f>E9</f>
        <v>37</v>
      </c>
      <c r="L9" s="100">
        <f>E9</f>
        <v>37</v>
      </c>
      <c r="M9" s="100">
        <f>E9</f>
        <v>37</v>
      </c>
      <c r="N9" s="69">
        <f>E9</f>
        <v>37</v>
      </c>
      <c r="O9" s="69">
        <f>E9</f>
        <v>37</v>
      </c>
      <c r="P9" s="125">
        <f>E9</f>
        <v>37</v>
      </c>
      <c r="Q9" s="125">
        <f>E9</f>
        <v>37</v>
      </c>
      <c r="R9" s="125">
        <f>E9</f>
        <v>37</v>
      </c>
      <c r="S9" s="126">
        <f>E9</f>
        <v>37</v>
      </c>
      <c r="T9" s="126">
        <f>E9</f>
        <v>37</v>
      </c>
      <c r="U9" s="126">
        <f>E9</f>
        <v>37</v>
      </c>
      <c r="V9" s="126">
        <f>E9</f>
        <v>37</v>
      </c>
      <c r="W9" s="126">
        <f>E9</f>
        <v>37</v>
      </c>
      <c r="X9" s="126">
        <f>E9</f>
        <v>37</v>
      </c>
      <c r="Y9" s="126">
        <f>E9</f>
        <v>37</v>
      </c>
      <c r="Z9" s="126">
        <f>E9</f>
        <v>37</v>
      </c>
      <c r="AA9" s="126">
        <f>E9</f>
        <v>37</v>
      </c>
      <c r="AB9" s="126">
        <f>E9</f>
        <v>37</v>
      </c>
      <c r="AC9" s="126">
        <f>E9</f>
        <v>37</v>
      </c>
      <c r="AD9" s="126">
        <f>E9</f>
        <v>37</v>
      </c>
      <c r="AE9" s="126">
        <f>E9</f>
        <v>37</v>
      </c>
      <c r="AF9" s="126">
        <f>E9</f>
        <v>37</v>
      </c>
      <c r="AG9" s="126">
        <f>E9</f>
        <v>37</v>
      </c>
      <c r="AH9" s="126">
        <f>E9</f>
        <v>37</v>
      </c>
      <c r="AI9" s="126">
        <f>E9</f>
        <v>37</v>
      </c>
      <c r="AJ9" s="126">
        <f>E9</f>
        <v>37</v>
      </c>
      <c r="AK9" s="126">
        <f>E9</f>
        <v>37</v>
      </c>
      <c r="AL9" s="126">
        <f>E9</f>
        <v>37</v>
      </c>
      <c r="AM9" s="126">
        <f>E9</f>
        <v>37</v>
      </c>
      <c r="AN9" s="126">
        <f>E9</f>
        <v>37</v>
      </c>
      <c r="AO9" s="126"/>
      <c r="AP9" s="126"/>
    </row>
    <row r="10" spans="1:43" s="27" customFormat="1" x14ac:dyDescent="0.35">
      <c r="B10" s="116" t="s">
        <v>141</v>
      </c>
      <c r="C10" s="116"/>
      <c r="D10" s="116"/>
      <c r="E10" s="152">
        <f>'Property Tax Calc'!E12</f>
        <v>0</v>
      </c>
      <c r="F10" s="114"/>
      <c r="G10" s="115">
        <f>E10</f>
        <v>0</v>
      </c>
      <c r="H10" s="115"/>
      <c r="I10" s="117">
        <v>2027</v>
      </c>
      <c r="J10" s="118">
        <v>2028</v>
      </c>
      <c r="K10" s="118">
        <v>2029</v>
      </c>
      <c r="L10" s="118">
        <v>2030</v>
      </c>
      <c r="M10" s="118">
        <v>2031</v>
      </c>
      <c r="N10" s="118">
        <v>2032</v>
      </c>
      <c r="O10" s="118">
        <v>2033</v>
      </c>
      <c r="P10" s="119">
        <v>2034</v>
      </c>
      <c r="Q10" s="119">
        <v>2035</v>
      </c>
      <c r="R10" s="119">
        <v>2036</v>
      </c>
      <c r="S10" s="119">
        <v>2037</v>
      </c>
      <c r="T10" s="119">
        <v>2038</v>
      </c>
      <c r="U10" s="119">
        <v>2039</v>
      </c>
      <c r="V10" s="119">
        <v>2040</v>
      </c>
      <c r="W10" s="119">
        <v>2041</v>
      </c>
      <c r="X10" s="119">
        <v>2042</v>
      </c>
      <c r="Y10" s="119">
        <v>2043</v>
      </c>
      <c r="Z10" s="119">
        <v>2044</v>
      </c>
      <c r="AA10" s="119">
        <v>2045</v>
      </c>
      <c r="AB10" s="119">
        <v>2046</v>
      </c>
      <c r="AC10" s="119">
        <v>2047</v>
      </c>
      <c r="AD10" s="119">
        <v>2048</v>
      </c>
      <c r="AE10" s="119">
        <v>2049</v>
      </c>
      <c r="AF10" s="119">
        <v>2050</v>
      </c>
      <c r="AG10" s="119">
        <v>2051</v>
      </c>
      <c r="AH10" s="119">
        <v>2052</v>
      </c>
      <c r="AI10" s="119">
        <v>2053</v>
      </c>
      <c r="AJ10" s="119">
        <v>2054</v>
      </c>
      <c r="AK10" s="120">
        <v>2055</v>
      </c>
      <c r="AL10" s="119">
        <v>2056</v>
      </c>
      <c r="AM10" s="119">
        <v>2057</v>
      </c>
      <c r="AN10" s="119">
        <v>2058</v>
      </c>
      <c r="AO10" s="119"/>
      <c r="AP10" s="119"/>
    </row>
    <row r="11" spans="1:43" s="116" customFormat="1" x14ac:dyDescent="0.35">
      <c r="B11" s="116" t="s">
        <v>143</v>
      </c>
      <c r="E11" s="128"/>
      <c r="F11" s="68"/>
      <c r="G11" s="67"/>
      <c r="H11" s="67"/>
      <c r="I11" s="131">
        <f>Amortization!F8</f>
        <v>1488000</v>
      </c>
      <c r="J11" s="132">
        <f>Amortization!F10</f>
        <v>1224000</v>
      </c>
      <c r="K11" s="132">
        <f>Amortization!F12</f>
        <v>960000</v>
      </c>
      <c r="L11" s="132">
        <f>Amortization!F14</f>
        <v>696000</v>
      </c>
      <c r="M11" s="132">
        <f>Amortization!F16</f>
        <v>432000</v>
      </c>
      <c r="N11" s="132">
        <f>Amortization!F18</f>
        <v>0</v>
      </c>
      <c r="O11" s="132">
        <f>Amortization!F20</f>
        <v>0</v>
      </c>
      <c r="P11" s="133">
        <f>Amortization!F22</f>
        <v>0</v>
      </c>
      <c r="Q11" s="133">
        <f>Amortization!F24</f>
        <v>0</v>
      </c>
      <c r="R11" s="133">
        <f>Amortization!F26</f>
        <v>0</v>
      </c>
      <c r="S11" s="133"/>
      <c r="T11" s="129"/>
      <c r="U11" s="129"/>
      <c r="V11" s="129"/>
      <c r="W11" s="129"/>
      <c r="X11" s="129"/>
      <c r="Y11" s="129"/>
      <c r="Z11" s="129"/>
      <c r="AA11" s="129"/>
      <c r="AB11" s="129"/>
      <c r="AC11" s="129"/>
      <c r="AD11" s="129"/>
      <c r="AE11" s="129"/>
      <c r="AF11" s="129"/>
      <c r="AG11" s="129"/>
      <c r="AH11" s="129"/>
      <c r="AI11" s="129"/>
      <c r="AJ11" s="129"/>
      <c r="AK11" s="130"/>
      <c r="AL11" s="129"/>
      <c r="AM11" s="129"/>
      <c r="AN11" s="129"/>
      <c r="AO11" s="129"/>
      <c r="AP11" s="129"/>
    </row>
    <row r="12" spans="1:43" x14ac:dyDescent="0.35">
      <c r="B12" t="s">
        <v>142</v>
      </c>
      <c r="E12" s="98">
        <f>IF(E10=1,Amortization!E8,IF(E10=2,Amortization!E10,IF(E10=3,Amortization!E12,IF(E10=4,Amortization!E14,IF(E10=5,Amortization!E16,IF(E10=6,Amortization!E18,IF(E10=7,Amortization!E20,IF(E10=8,Amortization!E22,IF(E10=9,Amortization!E24,IF(E10=10,Amortization!E26,IF(E10=11,Amortization!E28,IF(E10=12,Amortization!E30,IF(E10=13,Amortization!E32,IF(E10=14,Amortization!E34,IF(E10=15,Amortization!E36,IF(E10=16,Amortization!E38,IF(E10=17,Amortization!E40,IF(E10=18,Amortization!E42,IF(E10=19,Amortization!E44,IF(E10=20,Amortization!E46,IF(E10=21,Amortization!E48,IF(E10=22,Amortization!E50,IF(E10=23,Amortization!E52,IF(E10=24,Amortization!E54,IF(E10=25,Amortization!E56,IF(E10=26,Amortization!E58,IF(E10=27,Amortization!E60,IF(E10=28,Amortization!E62,IF(E10=29,Amortization!E64,IF(E10=30,Amortization!E66,0))))))))))))))))))))))))))))))</f>
        <v>0</v>
      </c>
      <c r="F12" s="97"/>
      <c r="G12" s="67">
        <f t="shared" ref="G12:G20" si="0">E12</f>
        <v>0</v>
      </c>
      <c r="H12" s="67"/>
      <c r="I12" s="234">
        <v>0</v>
      </c>
      <c r="J12" s="121">
        <f>Amortization!G8</f>
        <v>4751675.6756756753</v>
      </c>
      <c r="K12" s="121">
        <f>Amortization!G10</f>
        <v>4919351.3513513505</v>
      </c>
      <c r="L12" s="121">
        <f>Amortization!G12</f>
        <v>5087027.0270270268</v>
      </c>
      <c r="M12" s="121">
        <f>Amortization!G14</f>
        <v>5254702.702702703</v>
      </c>
      <c r="N12" s="121">
        <f>Amortization!G16</f>
        <v>5422378.3783783782</v>
      </c>
      <c r="O12" s="121">
        <f>Amortization!G18</f>
        <v>5758054.0540540535</v>
      </c>
      <c r="P12" s="121">
        <f>Amortization!G20</f>
        <v>5661729.7297297297</v>
      </c>
      <c r="Q12" s="121">
        <f>Amortization!G22</f>
        <v>5565405.4054054059</v>
      </c>
      <c r="R12" s="121">
        <f>Amortization!G24</f>
        <v>5469081.0810810812</v>
      </c>
      <c r="S12" s="121">
        <f>Amortization!G26</f>
        <v>5372756.7567567565</v>
      </c>
      <c r="T12" s="121">
        <f>Amortization!G28</f>
        <v>5276432.4324324327</v>
      </c>
      <c r="U12" s="121">
        <f>Amortization!G30</f>
        <v>5180108.1081081079</v>
      </c>
      <c r="V12" s="121">
        <f>Amortization!G32</f>
        <v>5083783.7837837841</v>
      </c>
      <c r="W12" s="121">
        <f>Amortization!G34</f>
        <v>4987459.4594594594</v>
      </c>
      <c r="X12" s="121">
        <f>Amortization!G36</f>
        <v>4891135.1351351347</v>
      </c>
      <c r="Y12" s="121">
        <f>Amortization!G38</f>
        <v>4794810.8108108109</v>
      </c>
      <c r="Z12" s="121">
        <f>Amortization!G40</f>
        <v>4698486.4864864871</v>
      </c>
      <c r="AA12" s="121">
        <f>Amortization!G42</f>
        <v>4602162.1621621624</v>
      </c>
      <c r="AB12" s="121">
        <f>Amortization!G44</f>
        <v>4505837.8378378376</v>
      </c>
      <c r="AC12" s="121">
        <f>Amortization!G46</f>
        <v>4409513.5135135138</v>
      </c>
      <c r="AD12" s="121">
        <f>Amortization!G48</f>
        <v>4313189.1891891891</v>
      </c>
      <c r="AE12" s="121">
        <f>Amortization!G50</f>
        <v>4216864.8648648653</v>
      </c>
      <c r="AF12" s="121">
        <f>Amortization!G52</f>
        <v>4120540.5405405406</v>
      </c>
      <c r="AG12" s="121">
        <f>Amortization!G54</f>
        <v>4024216.2162162168</v>
      </c>
      <c r="AH12" s="121">
        <f>Amortization!G56</f>
        <v>3927891.8918918921</v>
      </c>
      <c r="AI12" s="121">
        <f>Amortization!G58</f>
        <v>3831567.5675675678</v>
      </c>
      <c r="AJ12" s="121">
        <f>Amortization!G60</f>
        <v>3735243.2432432435</v>
      </c>
      <c r="AK12" s="121">
        <f>Amortization!G62</f>
        <v>3638918.9189189193</v>
      </c>
      <c r="AL12" s="121">
        <f>Amortization!G64</f>
        <v>3542594.594594595</v>
      </c>
      <c r="AM12" s="121">
        <f>Amortization!G66</f>
        <v>3446270.2702702708</v>
      </c>
      <c r="AN12" s="121">
        <f>Amortization!G68</f>
        <v>3349945.9459459465</v>
      </c>
      <c r="AO12" s="121">
        <f>Amortization!G70</f>
        <v>3253621.6216216222</v>
      </c>
      <c r="AP12" s="121"/>
      <c r="AQ12" s="121"/>
    </row>
    <row r="13" spans="1:43" x14ac:dyDescent="0.35">
      <c r="B13" t="s">
        <v>126</v>
      </c>
      <c r="E13" s="99">
        <f>IF(E10=0,EdSpend!E10,IF(E10=1,EdSpend!E12,IF(E10=2,EdSpend!E14,IF(E10=3,EdSpend!E16,IF(E10=4,EdSpend!E18,IF(E10=5,EdSpend!E20,IF(E10=6,EdSpend!E22,IF(E10=7,EdSpend!E24,IF(E10=8,EdSpend!E26,IF(E10=9,EdSpend!E28,IF(E10=10,EdSpend!E30,IF(E10=11,EdSpend!E32,IF(E10=12,EdSpend!E34,IF(E10=13,EdSpend!E36,IF(E10=14,EdSpend!E38,IF(E10=15,EdSpend!E40,IF(E10=16,EdSpend!E42,IF(E10=17,EdSpend!E44,IF(E10=18,EdSpend!E46,IF(E10=19,EdSpend!E48,IF(E10=20,EdSpend!E50,IF(E10=21,EdSpend!E52,IF(E10=22,EdSpend!E54,IF(E10=23,EdSpend!E56,IF(E10=24,EdSpend!E58,IF(E10=25,EdSpend!E60,IF(E10=26,EdSpend!E62,IF(E10=27,EdSpend!E64,IF(E10=28,EdSpend!E66,IF(E10=29,EdSpend!E68,IF(E10=30,EdSpend!E70,0)))))))))))))))))))))))))))))))</f>
        <v>21582484</v>
      </c>
      <c r="F13" s="97"/>
      <c r="G13" s="96">
        <f t="shared" si="0"/>
        <v>21582484</v>
      </c>
      <c r="H13" s="50"/>
      <c r="I13" s="121">
        <f>EdSpend!E16</f>
        <v>27781418.178035799</v>
      </c>
      <c r="J13" s="121">
        <f>EdSpend!E18</f>
        <v>29612355.118570101</v>
      </c>
      <c r="K13" s="121">
        <f>EdSpend!E20</f>
        <v>30785442.108961999</v>
      </c>
      <c r="L13" s="121">
        <f>EdSpend!E22</f>
        <v>31862932.582775671</v>
      </c>
      <c r="M13" s="121">
        <f>EdSpend!E24</f>
        <v>32978135.223172821</v>
      </c>
      <c r="N13" s="121">
        <f>EdSpend!E26</f>
        <v>34132369.95598387</v>
      </c>
      <c r="O13" s="121">
        <f>EdSpend!E28</f>
        <v>35327002.904443309</v>
      </c>
      <c r="P13" s="121">
        <f>EdSpend!E30</f>
        <v>36563448.006098822</v>
      </c>
      <c r="Q13" s="121">
        <f>EdSpend!E32</f>
        <v>37843168.686312281</v>
      </c>
      <c r="R13" s="121">
        <f>EdSpend!E34</f>
        <v>39167679.590333208</v>
      </c>
      <c r="S13" s="121">
        <f>EdSpend!E36</f>
        <v>40538548.375994869</v>
      </c>
      <c r="T13" s="121">
        <f>EdSpend!E38</f>
        <v>41957397.569154687</v>
      </c>
      <c r="U13" s="121">
        <f>EdSpend!E40</f>
        <v>43425906.484075099</v>
      </c>
      <c r="V13" s="121">
        <f>EdSpend!E42</f>
        <v>44945813.211017728</v>
      </c>
      <c r="W13" s="121">
        <f>EdSpend!E44</f>
        <v>46518916.673403345</v>
      </c>
      <c r="X13" s="121">
        <f>EdSpend!E46</f>
        <v>48147078.756972462</v>
      </c>
      <c r="Y13" s="121">
        <f>EdSpend!E48</f>
        <v>49832226.5134665</v>
      </c>
      <c r="Z13" s="121">
        <f>EdSpend!E50</f>
        <v>51576354.441437826</v>
      </c>
      <c r="AA13" s="121">
        <f>EdSpend!E52</f>
        <v>53381526.846888147</v>
      </c>
      <c r="AB13" s="121">
        <f>EdSpend!E54</f>
        <v>55249880.286529236</v>
      </c>
      <c r="AC13" s="121">
        <f>EdSpend!E56</f>
        <v>57183626.096557759</v>
      </c>
      <c r="AD13" s="121">
        <f>EdSpend!E58</f>
        <v>59185053.009937279</v>
      </c>
      <c r="AE13" s="121">
        <f>EdSpend!E60</f>
        <v>61256529.865285084</v>
      </c>
      <c r="AF13" s="121">
        <f>EdSpend!E62</f>
        <v>63400508.410570063</v>
      </c>
      <c r="AG13" s="121">
        <f>EdSpend!E64</f>
        <v>65619526.204940014</v>
      </c>
      <c r="AH13" s="121">
        <f>EdSpend!E66</f>
        <v>67916209.622112915</v>
      </c>
      <c r="AI13" s="121">
        <f>EdSpend!E68</f>
        <v>70293276.958886862</v>
      </c>
      <c r="AJ13" s="121">
        <f>EdSpend!E70</f>
        <v>72753541.652447909</v>
      </c>
      <c r="AK13" s="121">
        <f>EdSpend!E72</f>
        <v>75299915.610283583</v>
      </c>
      <c r="AL13" s="121">
        <f>EdSpend!E74</f>
        <v>77935412.65664351</v>
      </c>
      <c r="AM13" s="121">
        <f>EdSpend!E76</f>
        <v>80663152.099626034</v>
      </c>
      <c r="AN13" s="121">
        <f>EdSpend!E78</f>
        <v>83486362.423112944</v>
      </c>
      <c r="AO13" s="121"/>
      <c r="AP13" s="121"/>
    </row>
    <row r="14" spans="1:43" s="138" customFormat="1" hidden="1" x14ac:dyDescent="0.35">
      <c r="B14" s="138" t="s">
        <v>131</v>
      </c>
      <c r="E14" s="139">
        <v>115</v>
      </c>
      <c r="F14" s="140"/>
      <c r="G14" s="141"/>
      <c r="H14" s="142"/>
      <c r="I14" s="143"/>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row>
    <row r="15" spans="1:43" s="101" customFormat="1" x14ac:dyDescent="0.35">
      <c r="B15" s="101" t="s">
        <v>144</v>
      </c>
      <c r="E15" s="155">
        <f>Enrollment!$C$2</f>
        <v>1520.47</v>
      </c>
      <c r="F15" s="159"/>
      <c r="G15" s="67">
        <f t="shared" si="0"/>
        <v>1520.47</v>
      </c>
      <c r="H15" s="67"/>
      <c r="I15" s="158">
        <f>E15</f>
        <v>1520.47</v>
      </c>
      <c r="J15" s="158">
        <f>E15</f>
        <v>1520.47</v>
      </c>
      <c r="K15" s="158">
        <f>E15</f>
        <v>1520.47</v>
      </c>
      <c r="L15" s="158">
        <f>E15</f>
        <v>1520.47</v>
      </c>
      <c r="M15" s="158">
        <f>E15</f>
        <v>1520.47</v>
      </c>
      <c r="N15" s="158">
        <f>E15</f>
        <v>1520.47</v>
      </c>
      <c r="O15" s="158">
        <f>E15</f>
        <v>1520.47</v>
      </c>
      <c r="P15" s="158">
        <f>E15</f>
        <v>1520.47</v>
      </c>
      <c r="Q15" s="158">
        <f>E15</f>
        <v>1520.47</v>
      </c>
      <c r="R15" s="158">
        <f>E15</f>
        <v>1520.47</v>
      </c>
      <c r="S15" s="158">
        <f>E15</f>
        <v>1520.47</v>
      </c>
      <c r="T15" s="158">
        <f>E15</f>
        <v>1520.47</v>
      </c>
      <c r="U15" s="158">
        <f>E15</f>
        <v>1520.47</v>
      </c>
      <c r="V15" s="158">
        <f>E15</f>
        <v>1520.47</v>
      </c>
      <c r="W15" s="158">
        <f>E15</f>
        <v>1520.47</v>
      </c>
      <c r="X15" s="158">
        <f>E15</f>
        <v>1520.47</v>
      </c>
      <c r="Y15" s="158">
        <f>E15</f>
        <v>1520.47</v>
      </c>
      <c r="Z15" s="158">
        <f>E15</f>
        <v>1520.47</v>
      </c>
      <c r="AA15" s="158">
        <f>E15</f>
        <v>1520.47</v>
      </c>
      <c r="AB15" s="158">
        <f>E15</f>
        <v>1520.47</v>
      </c>
      <c r="AC15" s="158">
        <f>E15</f>
        <v>1520.47</v>
      </c>
      <c r="AD15" s="158">
        <f>E15</f>
        <v>1520.47</v>
      </c>
      <c r="AE15" s="158">
        <f>E15</f>
        <v>1520.47</v>
      </c>
      <c r="AF15" s="158">
        <f>E15</f>
        <v>1520.47</v>
      </c>
      <c r="AG15" s="158">
        <f>E15</f>
        <v>1520.47</v>
      </c>
      <c r="AH15" s="158">
        <f>E15</f>
        <v>1520.47</v>
      </c>
      <c r="AI15" s="158">
        <f>E15</f>
        <v>1520.47</v>
      </c>
      <c r="AJ15" s="158">
        <f>E15</f>
        <v>1520.47</v>
      </c>
      <c r="AK15" s="158">
        <f>E15</f>
        <v>1520.47</v>
      </c>
      <c r="AL15" s="158">
        <f>E15</f>
        <v>1520.47</v>
      </c>
      <c r="AM15" s="158">
        <f>E15</f>
        <v>1520.47</v>
      </c>
      <c r="AN15" s="158">
        <f>E15</f>
        <v>1520.47</v>
      </c>
      <c r="AO15" s="158"/>
      <c r="AP15" s="158"/>
    </row>
    <row r="16" spans="1:43" x14ac:dyDescent="0.35">
      <c r="B16" t="s">
        <v>145</v>
      </c>
      <c r="E16" s="61">
        <f>E13/E15</f>
        <v>14194.613507665392</v>
      </c>
      <c r="F16" s="46"/>
      <c r="G16" s="86">
        <f t="shared" si="0"/>
        <v>14194.613507665392</v>
      </c>
      <c r="H16" s="64"/>
      <c r="I16" s="61">
        <f t="shared" ref="I16:AL16" si="1">I13/I15</f>
        <v>18271.599030586462</v>
      </c>
      <c r="J16" s="61">
        <f t="shared" si="1"/>
        <v>19475.79045858853</v>
      </c>
      <c r="K16" s="61">
        <f t="shared" si="1"/>
        <v>20247.319650477813</v>
      </c>
      <c r="L16" s="61">
        <f t="shared" si="1"/>
        <v>20955.975838244536</v>
      </c>
      <c r="M16" s="61">
        <f t="shared" si="1"/>
        <v>21689.434992583097</v>
      </c>
      <c r="N16" s="61">
        <f t="shared" si="1"/>
        <v>22448.565217323503</v>
      </c>
      <c r="O16" s="61">
        <f t="shared" si="1"/>
        <v>23234.26499992983</v>
      </c>
      <c r="P16" s="61">
        <f t="shared" si="1"/>
        <v>24047.464274927373</v>
      </c>
      <c r="Q16" s="61">
        <f t="shared" si="1"/>
        <v>24889.125524549829</v>
      </c>
      <c r="R16" s="61">
        <f t="shared" si="1"/>
        <v>25760.244917909073</v>
      </c>
      <c r="S16" s="61">
        <f t="shared" si="1"/>
        <v>26661.85349003589</v>
      </c>
      <c r="T16" s="61">
        <f t="shared" si="1"/>
        <v>27595.018362187144</v>
      </c>
      <c r="U16" s="61">
        <f t="shared" si="1"/>
        <v>28560.844004863691</v>
      </c>
      <c r="V16" s="61">
        <f t="shared" si="1"/>
        <v>29560.473545033921</v>
      </c>
      <c r="W16" s="61">
        <f t="shared" si="1"/>
        <v>30595.090119110107</v>
      </c>
      <c r="X16" s="61">
        <f t="shared" si="1"/>
        <v>31665.91827327896</v>
      </c>
      <c r="Y16" s="61">
        <f t="shared" si="1"/>
        <v>32774.225412843727</v>
      </c>
      <c r="Z16" s="61">
        <f t="shared" si="1"/>
        <v>33921.323302293255</v>
      </c>
      <c r="AA16" s="61">
        <f t="shared" si="1"/>
        <v>35108.569617873516</v>
      </c>
      <c r="AB16" s="61">
        <f t="shared" si="1"/>
        <v>36337.369554499091</v>
      </c>
      <c r="AC16" s="61">
        <f t="shared" si="1"/>
        <v>37609.177488906564</v>
      </c>
      <c r="AD16" s="61">
        <f t="shared" si="1"/>
        <v>38925.498701018289</v>
      </c>
      <c r="AE16" s="61">
        <f t="shared" si="1"/>
        <v>40287.891155553931</v>
      </c>
      <c r="AF16" s="61">
        <f t="shared" si="1"/>
        <v>41697.967345998317</v>
      </c>
      <c r="AG16" s="61">
        <f t="shared" si="1"/>
        <v>43157.396203108256</v>
      </c>
      <c r="AH16" s="61">
        <f t="shared" si="1"/>
        <v>44667.90507021705</v>
      </c>
      <c r="AI16" s="61">
        <f t="shared" si="1"/>
        <v>46231.281747674642</v>
      </c>
      <c r="AJ16" s="61">
        <f t="shared" si="1"/>
        <v>47849.37660884326</v>
      </c>
      <c r="AK16" s="61">
        <f t="shared" si="1"/>
        <v>49524.104790152771</v>
      </c>
      <c r="AL16" s="61">
        <f t="shared" si="1"/>
        <v>51257.448457808117</v>
      </c>
      <c r="AM16" s="61">
        <f t="shared" ref="AM16:AN16" si="2">AM13/AM15</f>
        <v>53051.459153831405</v>
      </c>
      <c r="AN16" s="61">
        <f t="shared" si="2"/>
        <v>54908.260224215497</v>
      </c>
      <c r="AO16" s="61"/>
      <c r="AP16" s="61"/>
    </row>
    <row r="17" spans="1:42" x14ac:dyDescent="0.35">
      <c r="B17" t="s">
        <v>121</v>
      </c>
      <c r="E17" s="61">
        <f>E16+(E12/E15)</f>
        <v>14194.613507665392</v>
      </c>
      <c r="F17" s="46"/>
      <c r="G17" s="72">
        <f t="shared" si="0"/>
        <v>14194.613507665392</v>
      </c>
      <c r="H17" s="72"/>
      <c r="I17" s="61">
        <f t="shared" ref="I17:AN17" si="3">I16+(J12/I15)</f>
        <v>21396.735123817947</v>
      </c>
      <c r="J17" s="61">
        <f t="shared" si="3"/>
        <v>22711.205396963735</v>
      </c>
      <c r="K17" s="61">
        <f t="shared" si="3"/>
        <v>23593.013433996744</v>
      </c>
      <c r="L17" s="61">
        <f t="shared" si="3"/>
        <v>24411.94846690719</v>
      </c>
      <c r="M17" s="61">
        <f t="shared" si="3"/>
        <v>25255.686466389474</v>
      </c>
      <c r="N17" s="61">
        <f t="shared" si="3"/>
        <v>26235.587686727078</v>
      </c>
      <c r="O17" s="61">
        <f t="shared" si="3"/>
        <v>26957.935792335949</v>
      </c>
      <c r="P17" s="61">
        <f t="shared" si="3"/>
        <v>27707.783390336033</v>
      </c>
      <c r="Q17" s="61">
        <f t="shared" si="3"/>
        <v>28486.092962961033</v>
      </c>
      <c r="R17" s="61">
        <f t="shared" si="3"/>
        <v>29293.860679322817</v>
      </c>
      <c r="S17" s="61">
        <f t="shared" si="3"/>
        <v>30132.117574452179</v>
      </c>
      <c r="T17" s="61">
        <f t="shared" si="3"/>
        <v>31001.930769605973</v>
      </c>
      <c r="U17" s="61">
        <f t="shared" si="3"/>
        <v>31904.404735285065</v>
      </c>
      <c r="V17" s="61">
        <f t="shared" si="3"/>
        <v>32840.682598457839</v>
      </c>
      <c r="W17" s="61">
        <f t="shared" si="3"/>
        <v>33811.947495536566</v>
      </c>
      <c r="X17" s="61">
        <f t="shared" si="3"/>
        <v>34819.423972707962</v>
      </c>
      <c r="Y17" s="61">
        <f t="shared" si="3"/>
        <v>35864.379435275267</v>
      </c>
      <c r="Z17" s="61">
        <f t="shared" si="3"/>
        <v>36948.125647727342</v>
      </c>
      <c r="AA17" s="61">
        <f t="shared" si="3"/>
        <v>38072.020286310144</v>
      </c>
      <c r="AB17" s="61">
        <f t="shared" si="3"/>
        <v>39237.46854593826</v>
      </c>
      <c r="AC17" s="61">
        <f t="shared" si="3"/>
        <v>40445.924803348273</v>
      </c>
      <c r="AD17" s="61">
        <f t="shared" si="3"/>
        <v>41698.894338462545</v>
      </c>
      <c r="AE17" s="61">
        <f t="shared" si="3"/>
        <v>42997.935116000728</v>
      </c>
      <c r="AF17" s="61">
        <f t="shared" si="3"/>
        <v>44344.659629447655</v>
      </c>
      <c r="AG17" s="61">
        <f t="shared" si="3"/>
        <v>45740.736809560134</v>
      </c>
      <c r="AH17" s="61">
        <f t="shared" si="3"/>
        <v>47187.893999671476</v>
      </c>
      <c r="AI17" s="61">
        <f t="shared" si="3"/>
        <v>48687.919000131609</v>
      </c>
      <c r="AJ17" s="61">
        <f t="shared" si="3"/>
        <v>50242.662184302768</v>
      </c>
      <c r="AK17" s="61">
        <f t="shared" si="3"/>
        <v>51854.038688614819</v>
      </c>
      <c r="AL17" s="61">
        <f t="shared" si="3"/>
        <v>53524.030679272713</v>
      </c>
      <c r="AM17" s="61">
        <f t="shared" si="3"/>
        <v>55254.689698298542</v>
      </c>
      <c r="AN17" s="61">
        <f t="shared" si="3"/>
        <v>57048.139091685174</v>
      </c>
      <c r="AO17" s="61"/>
      <c r="AP17" s="61"/>
    </row>
    <row r="18" spans="1:42" x14ac:dyDescent="0.35">
      <c r="B18" t="s">
        <v>127</v>
      </c>
      <c r="E18" s="79">
        <v>15479</v>
      </c>
      <c r="G18" s="80">
        <f t="shared" si="0"/>
        <v>15479</v>
      </c>
      <c r="H18" s="80"/>
      <c r="I18" s="105">
        <f>EdSpend!H16</f>
        <v>10980.05625</v>
      </c>
      <c r="J18" s="105">
        <f>EdSpend!H18</f>
        <v>11364.35821875</v>
      </c>
      <c r="K18" s="105">
        <f>EdSpend!H20</f>
        <v>11762.110756406249</v>
      </c>
      <c r="L18" s="105">
        <f>EdSpend!H22</f>
        <v>12173.784632880468</v>
      </c>
      <c r="M18" s="105">
        <f>EdSpend!H24</f>
        <v>12599.867095031284</v>
      </c>
      <c r="N18" s="105">
        <f>EdSpend!H26</f>
        <v>13040.862443357379</v>
      </c>
      <c r="O18" s="105">
        <f>EdSpend!H28</f>
        <v>13497.292628874888</v>
      </c>
      <c r="P18" s="105">
        <f>EdSpend!H30</f>
        <v>13969.697870885509</v>
      </c>
      <c r="Q18" s="105">
        <f>EdSpend!H32</f>
        <v>14458.637296366502</v>
      </c>
      <c r="R18" s="105">
        <f>EdSpend!H34</f>
        <v>14964.68960173933</v>
      </c>
      <c r="S18" s="105">
        <f>EdSpend!H36</f>
        <v>15488.453737800206</v>
      </c>
      <c r="T18" s="105">
        <f>EdSpend!H38</f>
        <v>16030.549618623214</v>
      </c>
      <c r="U18" s="105">
        <f>EdSpend!H40</f>
        <v>16591.618855275028</v>
      </c>
      <c r="V18" s="105">
        <f>EdSpend!H42</f>
        <v>17172.325515209654</v>
      </c>
      <c r="W18" s="105">
        <f>EdSpend!H44</f>
        <v>17773.356908241993</v>
      </c>
      <c r="X18" s="105">
        <f>EdSpend!H46</f>
        <v>18395.424400030461</v>
      </c>
      <c r="Y18" s="105">
        <f>EdSpend!H48</f>
        <v>19039.264254031528</v>
      </c>
      <c r="Z18" s="105">
        <f>EdSpend!H50</f>
        <v>19705.638502922633</v>
      </c>
      <c r="AA18" s="105">
        <f>EdSpend!H52</f>
        <v>20395.335850524927</v>
      </c>
      <c r="AB18" s="105">
        <f>EdSpend!H54</f>
        <v>21109.172605293301</v>
      </c>
      <c r="AC18" s="105">
        <f>EdSpend!H56</f>
        <v>21847.993646478568</v>
      </c>
      <c r="AD18" s="105">
        <f>EdSpend!H58</f>
        <v>22612.673424105316</v>
      </c>
      <c r="AE18" s="105">
        <f>EdSpend!H60</f>
        <v>23404.116993949003</v>
      </c>
      <c r="AF18" s="105">
        <f>EdSpend!H62</f>
        <v>24223.261088737218</v>
      </c>
      <c r="AG18" s="105">
        <f>EdSpend!H64</f>
        <v>25071.075226843019</v>
      </c>
      <c r="AH18" s="105">
        <f>EdSpend!H66</f>
        <v>25948.562859782523</v>
      </c>
      <c r="AI18" s="105">
        <f>EdSpend!H68</f>
        <v>26856.762559874911</v>
      </c>
      <c r="AJ18" s="105">
        <f>EdSpend!H70</f>
        <v>27796.749249470533</v>
      </c>
      <c r="AK18" s="105">
        <f>EdSpend!H72</f>
        <v>28769.635473202001</v>
      </c>
      <c r="AL18" s="79">
        <f>EdSpend!H74</f>
        <v>29776.572714764072</v>
      </c>
      <c r="AM18" s="79">
        <f>EdSpend!H76</f>
        <v>30818.752759780815</v>
      </c>
      <c r="AN18" s="79">
        <f>EdSpend!H78</f>
        <v>31897.409106373143</v>
      </c>
      <c r="AO18" s="79"/>
      <c r="AP18" s="79"/>
    </row>
    <row r="19" spans="1:42" x14ac:dyDescent="0.35">
      <c r="B19" t="s">
        <v>150</v>
      </c>
      <c r="E19" s="79">
        <v>17600</v>
      </c>
      <c r="G19" s="80">
        <f>E19</f>
        <v>17600</v>
      </c>
      <c r="H19" s="80"/>
      <c r="I19" s="105">
        <f>EdSpend!K16</f>
        <v>11033.6175</v>
      </c>
      <c r="J19" s="105">
        <f>EdSpend!K14</f>
        <v>10660.5</v>
      </c>
      <c r="K19" s="105">
        <f>EdSpend!K16</f>
        <v>11033.6175</v>
      </c>
      <c r="L19" s="105">
        <f>EdSpend!K18</f>
        <v>11419.7941125</v>
      </c>
      <c r="M19" s="105">
        <f>EdSpend!K20</f>
        <v>11819.4869064375</v>
      </c>
      <c r="N19" s="105">
        <f>EdSpend!K22</f>
        <v>12233.168948162813</v>
      </c>
      <c r="O19" s="105">
        <f>EdSpend!K24</f>
        <v>12661.329861348511</v>
      </c>
      <c r="P19" s="105">
        <f>EdSpend!K26</f>
        <v>13104.476406495709</v>
      </c>
      <c r="Q19" s="105">
        <f>EdSpend!K28</f>
        <v>13563.133080723059</v>
      </c>
      <c r="R19" s="105">
        <f>EdSpend!K30</f>
        <v>14037.842738548366</v>
      </c>
      <c r="S19" s="105">
        <f>EdSpend!K32</f>
        <v>14529.167234397559</v>
      </c>
      <c r="T19" s="105">
        <f>EdSpend!K34</f>
        <v>15037.688087601473</v>
      </c>
      <c r="U19" s="105">
        <f>EdSpend!K36</f>
        <v>15564.007170667524</v>
      </c>
      <c r="V19" s="105">
        <f>EdSpend!K38</f>
        <v>16108.747421640888</v>
      </c>
      <c r="W19" s="105">
        <f>EdSpend!K40</f>
        <v>16672.553581398319</v>
      </c>
      <c r="X19" s="105">
        <f>EdSpend!K42</f>
        <v>17256.092956747259</v>
      </c>
      <c r="Y19" s="105">
        <f>EdSpend!K44</f>
        <v>17860.056210233415</v>
      </c>
      <c r="Z19" s="105">
        <f>EdSpend!K46</f>
        <v>18485.158177591584</v>
      </c>
      <c r="AA19" s="105">
        <f>EdSpend!K48</f>
        <v>19132.13871380729</v>
      </c>
      <c r="AB19" s="105">
        <f>EdSpend!K50</f>
        <v>19801.763568790546</v>
      </c>
      <c r="AC19" s="105">
        <f>EdSpend!K52</f>
        <v>20494.825293698213</v>
      </c>
      <c r="AD19" s="105">
        <f>EdSpend!K54</f>
        <v>21212.144178977651</v>
      </c>
      <c r="AE19" s="105">
        <f>EdSpend!K56</f>
        <v>21954.56922524187</v>
      </c>
      <c r="AF19" s="105">
        <f>EdSpend!K58</f>
        <v>22722.979148125334</v>
      </c>
      <c r="AG19" s="105">
        <f>EdSpend!K60</f>
        <v>23518.283418309722</v>
      </c>
      <c r="AH19" s="105">
        <f>EdSpend!K62</f>
        <v>24341.423337950564</v>
      </c>
      <c r="AI19" s="105">
        <f>EdSpend!K64</f>
        <v>25193.373154778834</v>
      </c>
      <c r="AJ19" s="105">
        <f>EdSpend!K66</f>
        <v>26075.141215196094</v>
      </c>
      <c r="AK19" s="105">
        <f>EdSpend!K68</f>
        <v>26987.771157727959</v>
      </c>
      <c r="AL19" s="105">
        <f>EdSpend!K70</f>
        <v>27932.343148248438</v>
      </c>
      <c r="AM19" s="105">
        <f>EdSpend!K72</f>
        <v>28909.975158437133</v>
      </c>
      <c r="AN19" s="105">
        <f>EdSpend!K74</f>
        <v>29921.824288982432</v>
      </c>
      <c r="AO19" s="105"/>
      <c r="AP19" s="105"/>
    </row>
    <row r="20" spans="1:42" x14ac:dyDescent="0.35">
      <c r="B20" t="s">
        <v>156</v>
      </c>
      <c r="E20" s="81">
        <f>E16/E18</f>
        <v>0.91702393614997035</v>
      </c>
      <c r="G20" s="80">
        <f t="shared" si="0"/>
        <v>0.91702393614997035</v>
      </c>
      <c r="H20" s="80"/>
      <c r="I20" s="81">
        <f t="shared" ref="I20:AL20" si="4">I16/I18</f>
        <v>1.6640715324738398</v>
      </c>
      <c r="J20" s="81">
        <f t="shared" si="4"/>
        <v>1.7137606967066137</v>
      </c>
      <c r="K20" s="81">
        <f t="shared" si="4"/>
        <v>1.7214018869402401</v>
      </c>
      <c r="L20" s="81">
        <f t="shared" si="4"/>
        <v>1.7214018869402401</v>
      </c>
      <c r="M20" s="81">
        <f t="shared" si="4"/>
        <v>1.7214018869402403</v>
      </c>
      <c r="N20" s="81">
        <f t="shared" si="4"/>
        <v>1.7214018869402401</v>
      </c>
      <c r="O20" s="81">
        <f t="shared" si="4"/>
        <v>1.7214018869402405</v>
      </c>
      <c r="P20" s="81">
        <f t="shared" si="4"/>
        <v>1.7214018869402403</v>
      </c>
      <c r="Q20" s="81">
        <f t="shared" si="4"/>
        <v>1.7214018869402401</v>
      </c>
      <c r="R20" s="81">
        <f t="shared" si="4"/>
        <v>1.7214018869402401</v>
      </c>
      <c r="S20" s="81">
        <f t="shared" si="4"/>
        <v>1.7214018869402401</v>
      </c>
      <c r="T20" s="81">
        <f t="shared" si="4"/>
        <v>1.7214018869402399</v>
      </c>
      <c r="U20" s="81">
        <f t="shared" si="4"/>
        <v>1.7214018869402397</v>
      </c>
      <c r="V20" s="81">
        <f t="shared" si="4"/>
        <v>1.7214018869402397</v>
      </c>
      <c r="W20" s="81">
        <f t="shared" si="4"/>
        <v>1.7214018869402394</v>
      </c>
      <c r="X20" s="81">
        <f t="shared" si="4"/>
        <v>1.7214018869402397</v>
      </c>
      <c r="Y20" s="81">
        <f t="shared" si="4"/>
        <v>1.7214018869402397</v>
      </c>
      <c r="Z20" s="81">
        <f t="shared" si="4"/>
        <v>1.7214018869402394</v>
      </c>
      <c r="AA20" s="81">
        <f t="shared" si="4"/>
        <v>1.7214018869402392</v>
      </c>
      <c r="AB20" s="81">
        <f t="shared" si="4"/>
        <v>1.7214018869402392</v>
      </c>
      <c r="AC20" s="81">
        <f t="shared" si="4"/>
        <v>1.7214018869402392</v>
      </c>
      <c r="AD20" s="81">
        <f t="shared" si="4"/>
        <v>1.721401886940239</v>
      </c>
      <c r="AE20" s="81">
        <f t="shared" si="4"/>
        <v>1.7214018869402392</v>
      </c>
      <c r="AF20" s="81">
        <f t="shared" si="4"/>
        <v>1.7214018869402392</v>
      </c>
      <c r="AG20" s="81">
        <f t="shared" si="4"/>
        <v>1.7214018869402392</v>
      </c>
      <c r="AH20" s="81">
        <f t="shared" si="4"/>
        <v>1.7214018869402394</v>
      </c>
      <c r="AI20" s="81">
        <f t="shared" si="4"/>
        <v>1.7214018869402392</v>
      </c>
      <c r="AJ20" s="81">
        <f t="shared" si="4"/>
        <v>1.7214018869402394</v>
      </c>
      <c r="AK20" s="81">
        <f t="shared" si="4"/>
        <v>1.7214018869402394</v>
      </c>
      <c r="AL20" s="81">
        <f t="shared" si="4"/>
        <v>1.7214018869402392</v>
      </c>
      <c r="AM20" s="81">
        <f t="shared" ref="AM20:AN20" si="5">AM16/AM18</f>
        <v>1.7214018869402394</v>
      </c>
      <c r="AN20" s="81">
        <f t="shared" si="5"/>
        <v>1.7214018869402392</v>
      </c>
      <c r="AO20" s="81"/>
      <c r="AP20" s="81"/>
    </row>
    <row r="21" spans="1:42" x14ac:dyDescent="0.35">
      <c r="B21" t="s">
        <v>157</v>
      </c>
      <c r="E21" s="81">
        <f>E17/E18</f>
        <v>0.91702393614997035</v>
      </c>
      <c r="G21" s="134">
        <f>G17/G18</f>
        <v>0.91702393614997035</v>
      </c>
      <c r="H21" s="80"/>
      <c r="I21" s="81">
        <f t="shared" ref="I21:AL21" si="6">I17/I18</f>
        <v>1.9486908479014347</v>
      </c>
      <c r="J21" s="81">
        <f t="shared" si="6"/>
        <v>1.9984591263141132</v>
      </c>
      <c r="K21" s="81">
        <f t="shared" si="6"/>
        <v>2.005848603418972</v>
      </c>
      <c r="L21" s="81">
        <f t="shared" si="6"/>
        <v>2.005288347304286</v>
      </c>
      <c r="M21" s="81">
        <f t="shared" si="6"/>
        <v>2.0044407036919436</v>
      </c>
      <c r="N21" s="81">
        <f t="shared" si="6"/>
        <v>2.0117985141458719</v>
      </c>
      <c r="O21" s="81">
        <f t="shared" si="6"/>
        <v>1.9972846802376187</v>
      </c>
      <c r="P21" s="81">
        <f t="shared" si="6"/>
        <v>1.9834203750449255</v>
      </c>
      <c r="Q21" s="81">
        <f t="shared" si="6"/>
        <v>1.9701782663930349</v>
      </c>
      <c r="R21" s="81">
        <f t="shared" si="6"/>
        <v>1.957532127891114</v>
      </c>
      <c r="S21" s="81">
        <f t="shared" si="6"/>
        <v>1.945456795400661</v>
      </c>
      <c r="T21" s="81">
        <f t="shared" si="6"/>
        <v>1.9339281251835567</v>
      </c>
      <c r="U21" s="81">
        <f t="shared" si="6"/>
        <v>1.9229229536659465</v>
      </c>
      <c r="V21" s="81">
        <f t="shared" si="6"/>
        <v>1.9124190587565213</v>
      </c>
      <c r="W21" s="81">
        <f t="shared" si="6"/>
        <v>1.902395122660089</v>
      </c>
      <c r="X21" s="81">
        <f t="shared" si="6"/>
        <v>1.8928306961295389</v>
      </c>
      <c r="Y21" s="81">
        <f t="shared" si="6"/>
        <v>1.8837061641014332</v>
      </c>
      <c r="Z21" s="81">
        <f t="shared" si="6"/>
        <v>1.8750027126625406</v>
      </c>
      <c r="AA21" s="81">
        <f t="shared" si="6"/>
        <v>1.8667022972965783</v>
      </c>
      <c r="AB21" s="81">
        <f t="shared" si="6"/>
        <v>1.8587876123623688</v>
      </c>
      <c r="AC21" s="81">
        <f t="shared" si="6"/>
        <v>1.8512420617564256</v>
      </c>
      <c r="AD21" s="81">
        <f t="shared" si="6"/>
        <v>1.8440497307147745</v>
      </c>
      <c r="AE21" s="81">
        <f t="shared" si="6"/>
        <v>1.8371953587105034</v>
      </c>
      <c r="AF21" s="81">
        <f t="shared" si="6"/>
        <v>1.8306643134051852</v>
      </c>
      <c r="AG21" s="81">
        <f t="shared" si="6"/>
        <v>1.8244425656138827</v>
      </c>
      <c r="AH21" s="81">
        <f t="shared" si="6"/>
        <v>1.8185166652449807</v>
      </c>
      <c r="AI21" s="81">
        <f t="shared" si="6"/>
        <v>1.8128737181775338</v>
      </c>
      <c r="AJ21" s="81">
        <f t="shared" si="6"/>
        <v>1.8075013640402495</v>
      </c>
      <c r="AK21" s="81">
        <f t="shared" si="6"/>
        <v>1.8023877548575546</v>
      </c>
      <c r="AL21" s="81">
        <f t="shared" si="6"/>
        <v>1.7975215345295255</v>
      </c>
      <c r="AM21" s="81">
        <f t="shared" ref="AM21:AN21" si="7">AM17/AM18</f>
        <v>1.792891819113692</v>
      </c>
      <c r="AN21" s="81">
        <f t="shared" si="7"/>
        <v>1.7884881778779607</v>
      </c>
      <c r="AO21" s="81"/>
      <c r="AP21" s="81"/>
    </row>
    <row r="22" spans="1:42" x14ac:dyDescent="0.35">
      <c r="B22" s="116" t="s">
        <v>158</v>
      </c>
      <c r="E22" s="136">
        <f>E16/E19*2</f>
        <v>1.6130242622347035</v>
      </c>
      <c r="G22" s="135">
        <f>G16/G19*2</f>
        <v>1.6130242622347035</v>
      </c>
      <c r="H22" s="66"/>
      <c r="I22" s="66">
        <f t="shared" ref="I22:AL22" si="8">I16/I19*2</f>
        <v>3.3119870306518169</v>
      </c>
      <c r="J22" s="66">
        <f t="shared" si="8"/>
        <v>3.6538230774520013</v>
      </c>
      <c r="K22" s="66">
        <f t="shared" si="8"/>
        <v>3.6701144752349468</v>
      </c>
      <c r="L22" s="66">
        <f t="shared" si="8"/>
        <v>3.6701144752349468</v>
      </c>
      <c r="M22" s="66">
        <f t="shared" si="8"/>
        <v>3.6701144752349473</v>
      </c>
      <c r="N22" s="66">
        <f t="shared" si="8"/>
        <v>3.6701144752349468</v>
      </c>
      <c r="O22" s="66">
        <f t="shared" si="8"/>
        <v>3.6701144752349473</v>
      </c>
      <c r="P22" s="66">
        <f t="shared" si="8"/>
        <v>3.6701144752349473</v>
      </c>
      <c r="Q22" s="66">
        <f t="shared" si="8"/>
        <v>3.6701144752349468</v>
      </c>
      <c r="R22" s="66">
        <f t="shared" si="8"/>
        <v>3.6701144752349468</v>
      </c>
      <c r="S22" s="66">
        <f t="shared" si="8"/>
        <v>3.6701144752349468</v>
      </c>
      <c r="T22" s="66">
        <f t="shared" si="8"/>
        <v>3.6701144752349464</v>
      </c>
      <c r="U22" s="66">
        <f t="shared" si="8"/>
        <v>3.6701144752349464</v>
      </c>
      <c r="V22" s="66">
        <f t="shared" si="8"/>
        <v>3.6701144752349464</v>
      </c>
      <c r="W22" s="66">
        <f t="shared" si="8"/>
        <v>3.6701144752349464</v>
      </c>
      <c r="X22" s="66">
        <f t="shared" si="8"/>
        <v>3.6701144752349464</v>
      </c>
      <c r="Y22" s="66">
        <f t="shared" si="8"/>
        <v>3.6701144752349464</v>
      </c>
      <c r="Z22" s="66">
        <f t="shared" si="8"/>
        <v>3.6701144752349459</v>
      </c>
      <c r="AA22" s="66">
        <f t="shared" si="8"/>
        <v>3.6701144752349459</v>
      </c>
      <c r="AB22" s="66">
        <f t="shared" si="8"/>
        <v>3.6701144752349459</v>
      </c>
      <c r="AC22" s="66">
        <f t="shared" si="8"/>
        <v>3.6701144752349464</v>
      </c>
      <c r="AD22" s="66">
        <f t="shared" si="8"/>
        <v>3.6701144752349459</v>
      </c>
      <c r="AE22" s="66">
        <f t="shared" si="8"/>
        <v>3.6701144752349459</v>
      </c>
      <c r="AF22" s="66">
        <f t="shared" si="8"/>
        <v>3.6701144752349459</v>
      </c>
      <c r="AG22" s="66">
        <f t="shared" si="8"/>
        <v>3.6701144752349459</v>
      </c>
      <c r="AH22" s="66">
        <f t="shared" si="8"/>
        <v>3.6701144752349459</v>
      </c>
      <c r="AI22" s="66">
        <f t="shared" si="8"/>
        <v>3.6701144752349455</v>
      </c>
      <c r="AJ22" s="66">
        <f t="shared" si="8"/>
        <v>3.6701144752349459</v>
      </c>
      <c r="AK22" s="66">
        <f t="shared" si="8"/>
        <v>3.6701144752349455</v>
      </c>
      <c r="AL22" s="66">
        <f t="shared" si="8"/>
        <v>3.6701144752349455</v>
      </c>
      <c r="AM22" s="66">
        <f t="shared" ref="AM22:AN22" si="9">AM16/AM19*2</f>
        <v>3.6701144752349455</v>
      </c>
      <c r="AN22" s="66">
        <f t="shared" si="9"/>
        <v>3.6701144752349451</v>
      </c>
      <c r="AO22" s="66"/>
      <c r="AP22" s="66"/>
    </row>
    <row r="23" spans="1:42" x14ac:dyDescent="0.35">
      <c r="B23" s="116" t="s">
        <v>159</v>
      </c>
      <c r="E23" s="136">
        <f>((((E7/E9)+((E7*E8)))/E15)+E16)/E19*2</f>
        <v>2.0793629956882111</v>
      </c>
      <c r="G23" s="135">
        <f>((((G7/G9)+((G7*G8)))/G15)+G16)/G19*2</f>
        <v>2.0793629956882111</v>
      </c>
      <c r="H23" s="66"/>
      <c r="I23" s="66">
        <f t="shared" ref="I23:AL23" si="10">((((I7/I9)+((I7*I8)))/I15)+I16)/I19*2</f>
        <v>4.0558556402698072</v>
      </c>
      <c r="J23" s="66">
        <f t="shared" si="10"/>
        <v>4.423727088406622</v>
      </c>
      <c r="K23" s="66">
        <f t="shared" si="10"/>
        <v>4.4139830848529371</v>
      </c>
      <c r="L23" s="66">
        <f t="shared" si="10"/>
        <v>4.3888281077160967</v>
      </c>
      <c r="M23" s="66">
        <f t="shared" si="10"/>
        <v>4.3645237819800196</v>
      </c>
      <c r="N23" s="66">
        <f t="shared" si="10"/>
        <v>4.3410413416553073</v>
      </c>
      <c r="O23" s="66">
        <f t="shared" si="10"/>
        <v>4.3183529935154876</v>
      </c>
      <c r="P23" s="66">
        <f t="shared" si="10"/>
        <v>4.2964318842016542</v>
      </c>
      <c r="Q23" s="66">
        <f t="shared" si="10"/>
        <v>4.2752520684394941</v>
      </c>
      <c r="R23" s="66">
        <f t="shared" si="10"/>
        <v>4.2547884783311281</v>
      </c>
      <c r="S23" s="66">
        <f t="shared" si="10"/>
        <v>4.2350168936853629</v>
      </c>
      <c r="T23" s="66">
        <f t="shared" si="10"/>
        <v>4.2159139133512911</v>
      </c>
      <c r="U23" s="66">
        <f t="shared" si="10"/>
        <v>4.1974569275212685</v>
      </c>
      <c r="V23" s="66">
        <f t="shared" si="10"/>
        <v>4.179624090970524</v>
      </c>
      <c r="W23" s="66">
        <f t="shared" si="10"/>
        <v>4.1623942972016881</v>
      </c>
      <c r="X23" s="66">
        <f t="shared" si="10"/>
        <v>4.1457471534636827</v>
      </c>
      <c r="Y23" s="66">
        <f t="shared" si="10"/>
        <v>4.1296629566153671</v>
      </c>
      <c r="Z23" s="66">
        <f t="shared" si="10"/>
        <v>4.1141226698054014</v>
      </c>
      <c r="AA23" s="66">
        <f t="shared" si="10"/>
        <v>4.0991078999406998</v>
      </c>
      <c r="AB23" s="66">
        <f t="shared" si="10"/>
        <v>4.0846008759168333</v>
      </c>
      <c r="AC23" s="66">
        <f t="shared" si="10"/>
        <v>4.0705844275845964</v>
      </c>
      <c r="AD23" s="66">
        <f t="shared" si="10"/>
        <v>4.0570419654278442</v>
      </c>
      <c r="AE23" s="66">
        <f t="shared" si="10"/>
        <v>4.043957460928568</v>
      </c>
      <c r="AF23" s="66">
        <f t="shared" si="10"/>
        <v>4.0313154275959331</v>
      </c>
      <c r="AG23" s="66">
        <f t="shared" si="10"/>
        <v>4.0191009026368656</v>
      </c>
      <c r="AH23" s="66">
        <f t="shared" si="10"/>
        <v>4.007299429246463</v>
      </c>
      <c r="AI23" s="66">
        <f t="shared" si="10"/>
        <v>3.9958970394972808</v>
      </c>
      <c r="AJ23" s="66">
        <f t="shared" si="10"/>
        <v>3.9848802378072503</v>
      </c>
      <c r="AK23" s="66">
        <f t="shared" si="10"/>
        <v>3.9742359849666404</v>
      </c>
      <c r="AL23" s="66">
        <f t="shared" si="10"/>
        <v>3.9639516827051819</v>
      </c>
      <c r="AM23" s="66">
        <f t="shared" ref="AM23:AN23" si="11">((((AM7/AM9)+((AM7*AM8)))/AM15)+AM16)/AM19*2</f>
        <v>3.9540151587810679</v>
      </c>
      <c r="AN23" s="66">
        <f t="shared" si="11"/>
        <v>3.9444146525741939</v>
      </c>
      <c r="AO23" s="66"/>
      <c r="AP23" s="66"/>
    </row>
    <row r="24" spans="1:42" x14ac:dyDescent="0.35">
      <c r="G24" s="45"/>
      <c r="H24" s="45"/>
      <c r="I24" s="106"/>
      <c r="J24" s="106"/>
      <c r="K24" s="106"/>
      <c r="L24" s="106"/>
      <c r="M24" s="106"/>
      <c r="N24" s="106"/>
      <c r="O24" s="106"/>
    </row>
    <row r="25" spans="1:42" hidden="1" x14ac:dyDescent="0.35">
      <c r="A25" s="27" t="s">
        <v>75</v>
      </c>
      <c r="C25" s="43"/>
      <c r="E25" s="41"/>
      <c r="G25" s="84" t="s">
        <v>128</v>
      </c>
      <c r="H25" s="55"/>
      <c r="I25" s="107"/>
      <c r="J25" s="107"/>
      <c r="K25" s="107"/>
      <c r="L25" s="107"/>
      <c r="M25" s="107"/>
      <c r="N25" s="107"/>
      <c r="O25" s="107"/>
      <c r="P25" s="107"/>
      <c r="Q25" s="107"/>
      <c r="R25" s="107"/>
    </row>
    <row r="26" spans="1:42" hidden="1" x14ac:dyDescent="0.35">
      <c r="B26" s="116" t="s">
        <v>71</v>
      </c>
      <c r="G26" s="65">
        <v>1</v>
      </c>
      <c r="H26" s="65"/>
      <c r="I26" s="65">
        <v>1</v>
      </c>
      <c r="J26" s="65">
        <v>1</v>
      </c>
      <c r="K26" s="65">
        <f t="shared" ref="K26:AF26" si="12">IF(K25="Equalized",1,IF(K25="Barnard",M26,IF(K25="Bridgewater",N26,IF(K25="Killington",O26,IF(K25="Plymouth",P26,IF(K25="Pomfret",Q26,IF(K25="Woodstock",S26,1)))))))</f>
        <v>1</v>
      </c>
      <c r="L26" s="65">
        <f t="shared" si="12"/>
        <v>1</v>
      </c>
      <c r="M26" s="65">
        <f t="shared" si="12"/>
        <v>1</v>
      </c>
      <c r="N26" s="65">
        <f t="shared" si="12"/>
        <v>1</v>
      </c>
      <c r="O26" s="65">
        <f t="shared" si="12"/>
        <v>1</v>
      </c>
      <c r="P26" s="65">
        <f t="shared" si="12"/>
        <v>1</v>
      </c>
      <c r="Q26" s="65">
        <f t="shared" si="12"/>
        <v>1</v>
      </c>
      <c r="R26" s="65">
        <f t="shared" si="12"/>
        <v>1</v>
      </c>
      <c r="S26" s="65">
        <f t="shared" si="12"/>
        <v>1</v>
      </c>
      <c r="T26" s="65">
        <f t="shared" si="12"/>
        <v>1</v>
      </c>
      <c r="U26" s="65">
        <f t="shared" si="12"/>
        <v>1</v>
      </c>
      <c r="V26" s="65">
        <f t="shared" si="12"/>
        <v>1</v>
      </c>
      <c r="W26" s="65">
        <f t="shared" si="12"/>
        <v>1</v>
      </c>
      <c r="X26" s="65">
        <f t="shared" si="12"/>
        <v>1</v>
      </c>
      <c r="Y26" s="65">
        <f t="shared" si="12"/>
        <v>1</v>
      </c>
      <c r="Z26" s="65">
        <f t="shared" si="12"/>
        <v>1</v>
      </c>
      <c r="AA26" s="65">
        <f t="shared" si="12"/>
        <v>1</v>
      </c>
      <c r="AB26" s="65">
        <f t="shared" si="12"/>
        <v>1</v>
      </c>
      <c r="AC26" s="65">
        <f t="shared" si="12"/>
        <v>1</v>
      </c>
      <c r="AD26" s="65">
        <f t="shared" si="12"/>
        <v>1</v>
      </c>
      <c r="AE26" s="65">
        <f t="shared" si="12"/>
        <v>1</v>
      </c>
      <c r="AF26" s="65">
        <f t="shared" si="12"/>
        <v>1</v>
      </c>
      <c r="AG26" s="65">
        <f>IF(AG25="Equalized",1,IF(AG25="Barnard",AI26,IF(AG25="Bridgewater",AJ26,IF(AG25="Killington",AK26,IF(AG25="Plymouth",AL26,IF(AG25="Pomfret",AM26,IF(AG25="Woodstock",#REF!,1)))))))</f>
        <v>1</v>
      </c>
      <c r="AH26" s="65">
        <f>IF(AH25="Equalized",1,IF(AH25="Barnard",AJ26,IF(AH25="Bridgewater",AK26,IF(AH25="Killington",AL26,IF(AH25="Plymouth",AM26,IF(AH25="Pomfret",AN26,IF(AH25="Woodstock",AO26,1)))))))</f>
        <v>1</v>
      </c>
      <c r="AI26" s="65">
        <f>IF(AI25="Equalized",1,IF(AI25="Barnard",AK26,IF(AI25="Bridgewater",AL26,IF(AI25="Killington",AM26,IF(AI25="Plymouth",AN26,IF(AI25="Pomfret",#REF!,IF(AI25="Woodstock",AP26,1)))))))</f>
        <v>1</v>
      </c>
      <c r="AJ26" s="65">
        <f>IF(AJ25="Equalized",1,IF(AJ25="Barnard",AL26,IF(AJ25="Bridgewater",AM26,IF(AJ25="Killington",AN26,IF(AJ25="Plymouth",#REF!,IF(AJ25="Pomfret",AO26,IF(AJ25="Woodstock",AQ26,1)))))))</f>
        <v>1</v>
      </c>
      <c r="AK26" s="65">
        <f>IF(AK25="Equalized",1,IF(AK25="Barnard",AM26,IF(AK25="Bridgewater",AN26,IF(AK25="Killington",#REF!,IF(AK25="Plymouth",AO26,IF(AK25="Pomfret",AP26,IF(AK25="Woodstock",AR26,1)))))))</f>
        <v>1</v>
      </c>
      <c r="AL26" s="65">
        <f>IF(AL25="Equalized",1,IF(AL25="Barnard",AN26,IF(AL25="Bridgewater",#REF!,IF(AL25="Killington",AO26,IF(AL25="Plymouth",AP26,IF(AL25="Pomfret",AQ26,IF(AL25="Woodstock",AS26,1)))))))</f>
        <v>1</v>
      </c>
      <c r="AM26" s="65">
        <f>IF(AM25="Equalized",1,IF(AM25="Barnard",#REF!,IF(AM25="Bridgewater",AO26,IF(AM25="Killington",AP26,IF(AM25="Plymouth",AQ26,IF(AM25="Pomfret",AR26,IF(AM25="Woodstock",AT26,1)))))))</f>
        <v>1</v>
      </c>
      <c r="AN26" s="65">
        <f>IF(AN25="Equalized",1,IF(AN25="Barnard",AO26,IF(AN25="Bridgewater",AP26,IF(AN25="Killington",AQ26,IF(AN25="Plymouth",AR26,IF(AN25="Pomfret",AS26,IF(AN25="Woodstock",AU26,1)))))))</f>
        <v>1</v>
      </c>
      <c r="AO26" s="65"/>
      <c r="AP26" s="65"/>
    </row>
    <row r="27" spans="1:42" hidden="1" x14ac:dyDescent="0.35">
      <c r="B27" s="116" t="s">
        <v>164</v>
      </c>
      <c r="E27" s="137"/>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1:42" hidden="1" x14ac:dyDescent="0.35">
      <c r="B28" s="116" t="s">
        <v>163</v>
      </c>
      <c r="E28" s="137"/>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1:42" hidden="1" x14ac:dyDescent="0.35">
      <c r="B29" s="116" t="s">
        <v>165</v>
      </c>
      <c r="E29" s="137"/>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1:42" hidden="1" x14ac:dyDescent="0.35">
      <c r="B30" s="116" t="s">
        <v>166</v>
      </c>
      <c r="E30" s="137"/>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1:42" hidden="1" x14ac:dyDescent="0.35">
      <c r="B31" s="116" t="s">
        <v>167</v>
      </c>
      <c r="E31" s="137"/>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1:42" hidden="1" x14ac:dyDescent="0.35">
      <c r="B32" s="116" t="s">
        <v>168</v>
      </c>
      <c r="E32" s="137"/>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1:42" hidden="1" x14ac:dyDescent="0.35">
      <c r="B33" s="116" t="s">
        <v>169</v>
      </c>
      <c r="E33" s="137"/>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hidden="1" x14ac:dyDescent="0.35">
      <c r="B34" s="116" t="s">
        <v>154</v>
      </c>
      <c r="G34" s="66">
        <f>G20/G26</f>
        <v>0.91702393614997035</v>
      </c>
      <c r="H34" s="66"/>
      <c r="I34" s="66">
        <f t="shared" ref="I34:AL34" si="13">I20/I26</f>
        <v>1.6640715324738398</v>
      </c>
      <c r="J34" s="66">
        <f t="shared" si="13"/>
        <v>1.7137606967066137</v>
      </c>
      <c r="K34" s="66">
        <f t="shared" si="13"/>
        <v>1.7214018869402401</v>
      </c>
      <c r="L34" s="66">
        <f t="shared" si="13"/>
        <v>1.7214018869402401</v>
      </c>
      <c r="M34" s="66">
        <f t="shared" si="13"/>
        <v>1.7214018869402403</v>
      </c>
      <c r="N34" s="66">
        <f t="shared" si="13"/>
        <v>1.7214018869402401</v>
      </c>
      <c r="O34" s="66">
        <f t="shared" si="13"/>
        <v>1.7214018869402405</v>
      </c>
      <c r="P34" s="66">
        <f t="shared" si="13"/>
        <v>1.7214018869402403</v>
      </c>
      <c r="Q34" s="66">
        <f t="shared" si="13"/>
        <v>1.7214018869402401</v>
      </c>
      <c r="R34" s="66">
        <f t="shared" si="13"/>
        <v>1.7214018869402401</v>
      </c>
      <c r="S34" s="66">
        <f t="shared" si="13"/>
        <v>1.7214018869402401</v>
      </c>
      <c r="T34" s="66">
        <f t="shared" si="13"/>
        <v>1.7214018869402399</v>
      </c>
      <c r="U34" s="66">
        <f t="shared" si="13"/>
        <v>1.7214018869402397</v>
      </c>
      <c r="V34" s="66">
        <f t="shared" si="13"/>
        <v>1.7214018869402397</v>
      </c>
      <c r="W34" s="66">
        <f t="shared" si="13"/>
        <v>1.7214018869402394</v>
      </c>
      <c r="X34" s="66">
        <f t="shared" si="13"/>
        <v>1.7214018869402397</v>
      </c>
      <c r="Y34" s="66">
        <f t="shared" si="13"/>
        <v>1.7214018869402397</v>
      </c>
      <c r="Z34" s="66">
        <f t="shared" si="13"/>
        <v>1.7214018869402394</v>
      </c>
      <c r="AA34" s="66">
        <f t="shared" si="13"/>
        <v>1.7214018869402392</v>
      </c>
      <c r="AB34" s="66">
        <f t="shared" si="13"/>
        <v>1.7214018869402392</v>
      </c>
      <c r="AC34" s="66">
        <f t="shared" si="13"/>
        <v>1.7214018869402392</v>
      </c>
      <c r="AD34" s="66">
        <f t="shared" si="13"/>
        <v>1.721401886940239</v>
      </c>
      <c r="AE34" s="66">
        <f t="shared" si="13"/>
        <v>1.7214018869402392</v>
      </c>
      <c r="AF34" s="66">
        <f t="shared" si="13"/>
        <v>1.7214018869402392</v>
      </c>
      <c r="AG34" s="66">
        <f t="shared" si="13"/>
        <v>1.7214018869402392</v>
      </c>
      <c r="AH34" s="66">
        <f t="shared" si="13"/>
        <v>1.7214018869402394</v>
      </c>
      <c r="AI34" s="66">
        <f t="shared" si="13"/>
        <v>1.7214018869402392</v>
      </c>
      <c r="AJ34" s="66">
        <f t="shared" si="13"/>
        <v>1.7214018869402394</v>
      </c>
      <c r="AK34" s="66">
        <f t="shared" si="13"/>
        <v>1.7214018869402394</v>
      </c>
      <c r="AL34" s="66">
        <f t="shared" si="13"/>
        <v>1.7214018869402392</v>
      </c>
      <c r="AM34" s="66">
        <f t="shared" ref="AM34:AN34" si="14">AM20/AM26</f>
        <v>1.7214018869402394</v>
      </c>
      <c r="AN34" s="66">
        <f t="shared" si="14"/>
        <v>1.7214018869402392</v>
      </c>
      <c r="AO34" s="66"/>
      <c r="AP34" s="66"/>
    </row>
    <row r="35" spans="1:42" hidden="1" x14ac:dyDescent="0.35">
      <c r="B35" s="116" t="s">
        <v>155</v>
      </c>
      <c r="G35" s="66">
        <f>G21/G26</f>
        <v>0.91702393614997035</v>
      </c>
      <c r="H35" s="66"/>
      <c r="I35" s="66">
        <f t="shared" ref="I35:AL35" si="15">I21/I26</f>
        <v>1.9486908479014347</v>
      </c>
      <c r="J35" s="66">
        <f t="shared" si="15"/>
        <v>1.9984591263141132</v>
      </c>
      <c r="K35" s="66">
        <f t="shared" si="15"/>
        <v>2.005848603418972</v>
      </c>
      <c r="L35" s="66">
        <f t="shared" si="15"/>
        <v>2.005288347304286</v>
      </c>
      <c r="M35" s="66">
        <f t="shared" si="15"/>
        <v>2.0044407036919436</v>
      </c>
      <c r="N35" s="66">
        <f t="shared" si="15"/>
        <v>2.0117985141458719</v>
      </c>
      <c r="O35" s="66">
        <f t="shared" si="15"/>
        <v>1.9972846802376187</v>
      </c>
      <c r="P35" s="66">
        <f t="shared" si="15"/>
        <v>1.9834203750449255</v>
      </c>
      <c r="Q35" s="66">
        <f t="shared" si="15"/>
        <v>1.9701782663930349</v>
      </c>
      <c r="R35" s="66">
        <f t="shared" si="15"/>
        <v>1.957532127891114</v>
      </c>
      <c r="S35" s="66">
        <f t="shared" si="15"/>
        <v>1.945456795400661</v>
      </c>
      <c r="T35" s="66">
        <f t="shared" si="15"/>
        <v>1.9339281251835567</v>
      </c>
      <c r="U35" s="66">
        <f t="shared" si="15"/>
        <v>1.9229229536659465</v>
      </c>
      <c r="V35" s="66">
        <f t="shared" si="15"/>
        <v>1.9124190587565213</v>
      </c>
      <c r="W35" s="66">
        <f t="shared" si="15"/>
        <v>1.902395122660089</v>
      </c>
      <c r="X35" s="66">
        <f t="shared" si="15"/>
        <v>1.8928306961295389</v>
      </c>
      <c r="Y35" s="66">
        <f t="shared" si="15"/>
        <v>1.8837061641014332</v>
      </c>
      <c r="Z35" s="66">
        <f t="shared" si="15"/>
        <v>1.8750027126625406</v>
      </c>
      <c r="AA35" s="66">
        <f t="shared" si="15"/>
        <v>1.8667022972965783</v>
      </c>
      <c r="AB35" s="66">
        <f t="shared" si="15"/>
        <v>1.8587876123623688</v>
      </c>
      <c r="AC35" s="66">
        <f t="shared" si="15"/>
        <v>1.8512420617564256</v>
      </c>
      <c r="AD35" s="66">
        <f t="shared" si="15"/>
        <v>1.8440497307147745</v>
      </c>
      <c r="AE35" s="66">
        <f t="shared" si="15"/>
        <v>1.8371953587105034</v>
      </c>
      <c r="AF35" s="66">
        <f t="shared" si="15"/>
        <v>1.8306643134051852</v>
      </c>
      <c r="AG35" s="66">
        <f t="shared" si="15"/>
        <v>1.8244425656138827</v>
      </c>
      <c r="AH35" s="66">
        <f t="shared" si="15"/>
        <v>1.8185166652449807</v>
      </c>
      <c r="AI35" s="66">
        <f t="shared" si="15"/>
        <v>1.8128737181775338</v>
      </c>
      <c r="AJ35" s="66">
        <f t="shared" si="15"/>
        <v>1.8075013640402495</v>
      </c>
      <c r="AK35" s="66">
        <f t="shared" si="15"/>
        <v>1.8023877548575546</v>
      </c>
      <c r="AL35" s="66">
        <f t="shared" si="15"/>
        <v>1.7975215345295255</v>
      </c>
      <c r="AM35" s="66">
        <f t="shared" ref="AM35:AN35" si="16">AM21/AM26</f>
        <v>1.792891819113692</v>
      </c>
      <c r="AN35" s="66">
        <f t="shared" si="16"/>
        <v>1.7884881778779607</v>
      </c>
      <c r="AO35" s="66"/>
      <c r="AP35" s="66"/>
    </row>
    <row r="36" spans="1:42" hidden="1" x14ac:dyDescent="0.35">
      <c r="B36" s="116" t="s">
        <v>170</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1:42" hidden="1" x14ac:dyDescent="0.35">
      <c r="B37" s="116" t="s">
        <v>171</v>
      </c>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hidden="1" x14ac:dyDescent="0.35">
      <c r="G38" s="56"/>
      <c r="H38" s="56"/>
      <c r="I38" s="108"/>
      <c r="J38" s="108"/>
      <c r="K38" s="108"/>
      <c r="L38" s="108"/>
      <c r="M38" s="108"/>
      <c r="N38" s="108"/>
      <c r="O38" s="108"/>
      <c r="P38" s="108"/>
      <c r="Q38" s="108"/>
      <c r="R38" s="108"/>
    </row>
    <row r="39" spans="1:42" x14ac:dyDescent="0.35">
      <c r="A39" s="42" t="s">
        <v>73</v>
      </c>
      <c r="G39" s="56"/>
      <c r="H39" s="56"/>
      <c r="I39" s="108"/>
      <c r="J39" s="108"/>
      <c r="K39" s="108"/>
      <c r="L39" s="108"/>
      <c r="M39" s="108"/>
      <c r="N39" s="108"/>
      <c r="O39" s="108"/>
      <c r="P39" s="108"/>
      <c r="Q39" s="108"/>
      <c r="R39" s="108"/>
    </row>
    <row r="40" spans="1:42" x14ac:dyDescent="0.35">
      <c r="B40" s="27" t="s">
        <v>64</v>
      </c>
      <c r="E40" s="152">
        <f>'Property Tax Calc'!E48</f>
        <v>150000</v>
      </c>
      <c r="F40" s="54"/>
      <c r="G40" s="57">
        <f>E40</f>
        <v>150000</v>
      </c>
      <c r="H40" s="57"/>
      <c r="I40" s="109">
        <f>'Home Value'!G11</f>
        <v>150000</v>
      </c>
      <c r="J40" s="109">
        <f>'Home Value'!G13</f>
        <v>150000</v>
      </c>
      <c r="K40" s="109">
        <f>'Home Value'!G15</f>
        <v>150000</v>
      </c>
      <c r="L40" s="109">
        <f>'Home Value'!G17</f>
        <v>150000</v>
      </c>
      <c r="M40" s="109">
        <f>'Home Value'!G19</f>
        <v>150000</v>
      </c>
      <c r="N40" s="109">
        <f>'Home Value'!G21</f>
        <v>150000</v>
      </c>
      <c r="O40" s="109">
        <f>'Home Value'!G23</f>
        <v>150000</v>
      </c>
      <c r="P40" s="109">
        <f>'Home Value'!G25</f>
        <v>150000</v>
      </c>
      <c r="Q40" s="109">
        <f>'Home Value'!G27</f>
        <v>150000</v>
      </c>
      <c r="R40" s="109">
        <f>'Home Value'!G29</f>
        <v>150000</v>
      </c>
      <c r="S40" s="109">
        <f>'Home Value'!G31</f>
        <v>150000</v>
      </c>
      <c r="T40" s="109">
        <f>'Home Value'!G33</f>
        <v>150000</v>
      </c>
      <c r="U40" s="109">
        <f>'Home Value'!G35</f>
        <v>150000</v>
      </c>
      <c r="V40" s="109">
        <f>'Home Value'!G37</f>
        <v>150000</v>
      </c>
      <c r="W40" s="109">
        <f>'Home Value'!G39</f>
        <v>150000</v>
      </c>
      <c r="X40" s="109">
        <f>'Home Value'!G41</f>
        <v>150000</v>
      </c>
      <c r="Y40" s="109">
        <f>'Home Value'!G43</f>
        <v>150000</v>
      </c>
      <c r="Z40" s="109">
        <f>'Home Value'!G45</f>
        <v>150000</v>
      </c>
      <c r="AA40" s="109">
        <f>'Home Value'!G47</f>
        <v>150000</v>
      </c>
      <c r="AB40" s="109">
        <f>'Home Value'!G49</f>
        <v>150000</v>
      </c>
      <c r="AC40" s="109">
        <f>'Home Value'!G51</f>
        <v>150000</v>
      </c>
      <c r="AD40" s="109">
        <f>'Home Value'!G53</f>
        <v>150000</v>
      </c>
      <c r="AE40" s="109">
        <f>'Home Value'!G55</f>
        <v>150000</v>
      </c>
      <c r="AF40" s="109">
        <f>'Home Value'!G57</f>
        <v>150000</v>
      </c>
      <c r="AG40" s="109">
        <f>'Home Value'!G59</f>
        <v>150000</v>
      </c>
      <c r="AH40" s="109">
        <f>'Home Value'!G61</f>
        <v>150000</v>
      </c>
      <c r="AI40" s="109">
        <f>'Home Value'!G63</f>
        <v>150000</v>
      </c>
      <c r="AJ40" s="109">
        <f>'Home Value'!G65</f>
        <v>150000</v>
      </c>
      <c r="AK40" s="109">
        <f>'Home Value'!G67</f>
        <v>150000</v>
      </c>
      <c r="AL40" s="109">
        <f>'Home Value'!G69</f>
        <v>150000</v>
      </c>
      <c r="AM40" s="109">
        <f>'Home Value'!G71</f>
        <v>150000</v>
      </c>
      <c r="AN40" s="109">
        <f>'Home Value'!G73</f>
        <v>150000</v>
      </c>
      <c r="AO40" s="109"/>
      <c r="AP40" s="109"/>
    </row>
    <row r="41" spans="1:42" x14ac:dyDescent="0.35">
      <c r="B41" s="27" t="s">
        <v>65</v>
      </c>
      <c r="E41" s="152">
        <f>'Property Tax Calc'!E49</f>
        <v>549882.16810683429</v>
      </c>
      <c r="F41" s="54"/>
      <c r="G41" s="57">
        <f>E41</f>
        <v>549882.16810683429</v>
      </c>
      <c r="H41" s="57"/>
      <c r="I41" s="109">
        <f>'Home Value'!E17</f>
        <v>549882.16810683429</v>
      </c>
      <c r="J41" s="109">
        <f>'Home Value'!E19</f>
        <v>549882.16810683429</v>
      </c>
      <c r="K41" s="109">
        <f>'Home Value'!E21</f>
        <v>549882.16810683429</v>
      </c>
      <c r="L41" s="109">
        <f>'Home Value'!E23</f>
        <v>549882.16810683429</v>
      </c>
      <c r="M41" s="109">
        <f>'Home Value'!E25</f>
        <v>549882.16810683429</v>
      </c>
      <c r="N41" s="109">
        <f>'Home Value'!E27</f>
        <v>549882.16810683429</v>
      </c>
      <c r="O41" s="109">
        <f>'Home Value'!E29</f>
        <v>549882.16810683429</v>
      </c>
      <c r="P41" s="109">
        <f>'Home Value'!E31</f>
        <v>549882.16810683429</v>
      </c>
      <c r="Q41" s="109">
        <f>'Home Value'!E33</f>
        <v>549882.16810683429</v>
      </c>
      <c r="R41" s="109">
        <f>'Home Value'!E35</f>
        <v>549882.16810683429</v>
      </c>
      <c r="S41" s="109">
        <f>'Home Value'!E37</f>
        <v>549882.16810683429</v>
      </c>
      <c r="T41" s="109">
        <f>'Home Value'!E39</f>
        <v>549882.16810683429</v>
      </c>
      <c r="U41" s="109">
        <f>'Home Value'!E41</f>
        <v>549882.16810683429</v>
      </c>
      <c r="V41" s="109">
        <f>'Home Value'!E43</f>
        <v>549882.16810683429</v>
      </c>
      <c r="W41" s="109">
        <f>'Home Value'!E45</f>
        <v>549882.16810683429</v>
      </c>
      <c r="X41" s="109">
        <f>'Home Value'!E47</f>
        <v>549882.16810683429</v>
      </c>
      <c r="Y41" s="109">
        <f>'Home Value'!E49</f>
        <v>549882.16810683429</v>
      </c>
      <c r="Z41" s="109">
        <f>'Home Value'!E51</f>
        <v>549882.16810683429</v>
      </c>
      <c r="AA41" s="109">
        <f>'Home Value'!E53</f>
        <v>549882.16810683429</v>
      </c>
      <c r="AB41" s="109">
        <f>'Home Value'!E55</f>
        <v>549882.16810683429</v>
      </c>
      <c r="AC41" s="109">
        <f>'Home Value'!E57</f>
        <v>549882.16810683429</v>
      </c>
      <c r="AD41" s="109">
        <f>'Home Value'!E59</f>
        <v>549882.16810683429</v>
      </c>
      <c r="AE41" s="109">
        <f>'Home Value'!E61</f>
        <v>549882.16810683429</v>
      </c>
      <c r="AF41" s="109">
        <f>'Home Value'!E63</f>
        <v>549882.16810683429</v>
      </c>
      <c r="AG41" s="109">
        <f>'Home Value'!E65</f>
        <v>549882.16810683429</v>
      </c>
      <c r="AH41" s="109">
        <f>'Home Value'!E67</f>
        <v>549882.16810683429</v>
      </c>
      <c r="AI41" s="109">
        <f>'Home Value'!E69</f>
        <v>549882.16810683429</v>
      </c>
      <c r="AJ41" s="109">
        <f>'Home Value'!E71</f>
        <v>549882.16810683429</v>
      </c>
      <c r="AK41" s="109">
        <f>'Home Value'!E73</f>
        <v>549882.16810683429</v>
      </c>
      <c r="AL41" s="109">
        <f>'Home Value'!E75</f>
        <v>549882.16810683429</v>
      </c>
      <c r="AM41" s="109">
        <f>'Home Value'!E77</f>
        <v>549882.16810683429</v>
      </c>
      <c r="AN41" s="109">
        <f>'Home Value'!E79</f>
        <v>549882.16810683429</v>
      </c>
      <c r="AO41" s="109"/>
      <c r="AP41" s="109"/>
    </row>
    <row r="42" spans="1:42" x14ac:dyDescent="0.35">
      <c r="B42" s="27" t="s">
        <v>146</v>
      </c>
      <c r="E42" s="41"/>
      <c r="G42" s="58">
        <f>IF(G60&gt;0, G95, G48)</f>
        <v>5042.5511021600887</v>
      </c>
      <c r="H42" s="58"/>
      <c r="I42" s="58">
        <f t="shared" ref="I42:AL43" si="17">IF(I60&gt;0, I95, I48)</f>
        <v>9150.4326216157733</v>
      </c>
      <c r="J42" s="58">
        <f t="shared" si="17"/>
        <v>9423.664475213116</v>
      </c>
      <c r="K42" s="58">
        <f t="shared" si="17"/>
        <v>9465.6820177389491</v>
      </c>
      <c r="L42" s="58">
        <f t="shared" si="17"/>
        <v>9465.6820177389491</v>
      </c>
      <c r="M42" s="58">
        <f t="shared" si="17"/>
        <v>9465.6820177389491</v>
      </c>
      <c r="N42" s="58">
        <f t="shared" si="17"/>
        <v>9465.6820177389491</v>
      </c>
      <c r="O42" s="58">
        <f t="shared" si="17"/>
        <v>9465.6820177389509</v>
      </c>
      <c r="P42" s="58">
        <f t="shared" si="17"/>
        <v>9465.6820177389491</v>
      </c>
      <c r="Q42" s="58">
        <f t="shared" si="17"/>
        <v>9465.6820177389491</v>
      </c>
      <c r="R42" s="58">
        <f t="shared" si="17"/>
        <v>9465.6820177389491</v>
      </c>
      <c r="S42" s="58">
        <f t="shared" si="17"/>
        <v>9465.6820177389491</v>
      </c>
      <c r="T42" s="58">
        <f t="shared" si="17"/>
        <v>9465.6820177389473</v>
      </c>
      <c r="U42" s="58">
        <f t="shared" si="17"/>
        <v>9465.6820177389454</v>
      </c>
      <c r="V42" s="58">
        <f t="shared" si="17"/>
        <v>9465.6820177389454</v>
      </c>
      <c r="W42" s="58">
        <f t="shared" si="17"/>
        <v>9465.6820177389454</v>
      </c>
      <c r="X42" s="58">
        <f t="shared" si="17"/>
        <v>9465.6820177389454</v>
      </c>
      <c r="Y42" s="58">
        <f t="shared" si="17"/>
        <v>9465.6820177389454</v>
      </c>
      <c r="Z42" s="58">
        <f t="shared" si="17"/>
        <v>9465.6820177389454</v>
      </c>
      <c r="AA42" s="58">
        <f t="shared" si="17"/>
        <v>9465.6820177389436</v>
      </c>
      <c r="AB42" s="58">
        <f t="shared" si="17"/>
        <v>9465.6820177389436</v>
      </c>
      <c r="AC42" s="58">
        <f t="shared" si="17"/>
        <v>9465.6820177389436</v>
      </c>
      <c r="AD42" s="58">
        <f t="shared" si="17"/>
        <v>9465.6820177389418</v>
      </c>
      <c r="AE42" s="58">
        <f t="shared" si="17"/>
        <v>9465.6820177389436</v>
      </c>
      <c r="AF42" s="58">
        <f t="shared" si="17"/>
        <v>9465.6820177389436</v>
      </c>
      <c r="AG42" s="58">
        <f t="shared" si="17"/>
        <v>9465.6820177389436</v>
      </c>
      <c r="AH42" s="58">
        <f t="shared" si="17"/>
        <v>9465.6820177389454</v>
      </c>
      <c r="AI42" s="58">
        <f t="shared" si="17"/>
        <v>9465.6820177389436</v>
      </c>
      <c r="AJ42" s="58">
        <f t="shared" si="17"/>
        <v>9465.6820177389454</v>
      </c>
      <c r="AK42" s="58">
        <f t="shared" si="17"/>
        <v>9465.6820177389454</v>
      </c>
      <c r="AL42" s="58">
        <f t="shared" si="17"/>
        <v>9465.6820177389436</v>
      </c>
      <c r="AM42" s="58">
        <f t="shared" ref="AM42:AN42" si="18">IF(AM60&gt;0, AM95, AM48)</f>
        <v>9465.6820177389454</v>
      </c>
      <c r="AN42" s="58">
        <f t="shared" si="18"/>
        <v>9465.6820177389436</v>
      </c>
      <c r="AO42" s="58"/>
      <c r="AP42" s="58"/>
    </row>
    <row r="43" spans="1:42" x14ac:dyDescent="0.35">
      <c r="B43" s="27" t="s">
        <v>103</v>
      </c>
      <c r="E43" s="41"/>
      <c r="G43" s="58">
        <f>IF(G61&gt;0, G96, G49)</f>
        <v>5042.5511021600887</v>
      </c>
      <c r="H43" s="58"/>
      <c r="I43" s="58">
        <f t="shared" si="17"/>
        <v>10715.503484139861</v>
      </c>
      <c r="J43" s="58">
        <f t="shared" si="17"/>
        <v>10989.170372504943</v>
      </c>
      <c r="K43" s="58">
        <f t="shared" si="17"/>
        <v>11029.803789420899</v>
      </c>
      <c r="L43" s="58">
        <f t="shared" si="17"/>
        <v>11026.723040950512</v>
      </c>
      <c r="M43" s="58">
        <f t="shared" si="17"/>
        <v>11022.061999877147</v>
      </c>
      <c r="N43" s="58">
        <f t="shared" si="17"/>
        <v>11062.521287526397</v>
      </c>
      <c r="O43" s="58">
        <f t="shared" si="17"/>
        <v>10982.712302956272</v>
      </c>
      <c r="P43" s="58">
        <f t="shared" si="17"/>
        <v>10906.474960969739</v>
      </c>
      <c r="Q43" s="58">
        <f t="shared" si="17"/>
        <v>10833.658966811663</v>
      </c>
      <c r="R43" s="58">
        <f t="shared" si="17"/>
        <v>10764.120106235505</v>
      </c>
      <c r="S43" s="58">
        <f t="shared" si="17"/>
        <v>10697.720006130894</v>
      </c>
      <c r="T43" s="58">
        <f t="shared" si="17"/>
        <v>10634.325904387193</v>
      </c>
      <c r="U43" s="58">
        <f t="shared" si="17"/>
        <v>10573.810428642284</v>
      </c>
      <c r="V43" s="58">
        <f t="shared" si="17"/>
        <v>10516.051383578673</v>
      </c>
      <c r="W43" s="58">
        <f t="shared" si="17"/>
        <v>10460.931546441967</v>
      </c>
      <c r="X43" s="58">
        <f t="shared" si="17"/>
        <v>10408.338470468792</v>
      </c>
      <c r="Y43" s="58">
        <f t="shared" si="17"/>
        <v>10358.164295923043</v>
      </c>
      <c r="Z43" s="58">
        <f t="shared" si="17"/>
        <v>10310.305568450734</v>
      </c>
      <c r="AA43" s="58">
        <f t="shared" si="17"/>
        <v>10264.663064474509</v>
      </c>
      <c r="AB43" s="58">
        <f t="shared" si="17"/>
        <v>10221.141623359452</v>
      </c>
      <c r="AC43" s="58">
        <f t="shared" si="17"/>
        <v>10179.649986091892</v>
      </c>
      <c r="AD43" s="58">
        <f t="shared" si="17"/>
        <v>10140.100640222641</v>
      </c>
      <c r="AE43" s="58">
        <f t="shared" si="17"/>
        <v>10102.409670835448</v>
      </c>
      <c r="AF43" s="58">
        <f t="shared" si="17"/>
        <v>10066.496617310524</v>
      </c>
      <c r="AG43" s="58">
        <f t="shared" si="17"/>
        <v>10032.28433566157</v>
      </c>
      <c r="AH43" s="58">
        <f t="shared" si="17"/>
        <v>9999.6988662332024</v>
      </c>
      <c r="AI43" s="58">
        <f t="shared" si="17"/>
        <v>9968.6693065536037</v>
      </c>
      <c r="AJ43" s="58">
        <f t="shared" si="17"/>
        <v>9939.1276891451289</v>
      </c>
      <c r="AK43" s="58">
        <f t="shared" si="17"/>
        <v>9911.008864102816</v>
      </c>
      <c r="AL43" s="58">
        <f t="shared" si="17"/>
        <v>9884.2503862581925</v>
      </c>
      <c r="AM43" s="58">
        <f t="shared" ref="AM43:AN43" si="19">IF(AM61&gt;0, AM96, AM49)</f>
        <v>9858.7924067524309</v>
      </c>
      <c r="AN43" s="58">
        <f t="shared" si="19"/>
        <v>9834.5775688497451</v>
      </c>
      <c r="AO43" s="58"/>
      <c r="AP43" s="58"/>
    </row>
    <row r="44" spans="1:42" x14ac:dyDescent="0.35">
      <c r="B44" s="27" t="s">
        <v>66</v>
      </c>
      <c r="E44" s="41"/>
      <c r="G44" s="58">
        <f>G43-G42</f>
        <v>0</v>
      </c>
      <c r="H44" s="58"/>
      <c r="I44" s="58">
        <f t="shared" ref="I44:AL44" si="20">I43-I42</f>
        <v>1565.0708625240877</v>
      </c>
      <c r="J44" s="58">
        <f t="shared" si="20"/>
        <v>1565.5058972918268</v>
      </c>
      <c r="K44" s="58">
        <f t="shared" si="20"/>
        <v>1564.1217716819501</v>
      </c>
      <c r="L44" s="58">
        <f t="shared" si="20"/>
        <v>1561.0410232115628</v>
      </c>
      <c r="M44" s="58">
        <f t="shared" si="20"/>
        <v>1556.3799821381981</v>
      </c>
      <c r="N44" s="58">
        <f t="shared" si="20"/>
        <v>1596.8392697874478</v>
      </c>
      <c r="O44" s="58">
        <f t="shared" si="20"/>
        <v>1517.0302852173209</v>
      </c>
      <c r="P44" s="58">
        <f t="shared" si="20"/>
        <v>1440.7929432307901</v>
      </c>
      <c r="Q44" s="58">
        <f t="shared" si="20"/>
        <v>1367.976949072714</v>
      </c>
      <c r="R44" s="58">
        <f t="shared" si="20"/>
        <v>1298.4380884965558</v>
      </c>
      <c r="S44" s="58">
        <f t="shared" si="20"/>
        <v>1232.037988391945</v>
      </c>
      <c r="T44" s="58">
        <f t="shared" si="20"/>
        <v>1168.6438866482458</v>
      </c>
      <c r="U44" s="58">
        <f t="shared" si="20"/>
        <v>1108.1284109033386</v>
      </c>
      <c r="V44" s="58">
        <f t="shared" si="20"/>
        <v>1050.3693658397278</v>
      </c>
      <c r="W44" s="58">
        <f t="shared" si="20"/>
        <v>995.2495287030215</v>
      </c>
      <c r="X44" s="58">
        <f t="shared" si="20"/>
        <v>942.65645272984693</v>
      </c>
      <c r="Y44" s="58">
        <f t="shared" si="20"/>
        <v>892.48227818409759</v>
      </c>
      <c r="Z44" s="58">
        <f t="shared" si="20"/>
        <v>844.62355071178899</v>
      </c>
      <c r="AA44" s="58">
        <f t="shared" si="20"/>
        <v>798.98104673556554</v>
      </c>
      <c r="AB44" s="58">
        <f t="shared" si="20"/>
        <v>755.45960562050823</v>
      </c>
      <c r="AC44" s="58">
        <f t="shared" si="20"/>
        <v>713.96796835294845</v>
      </c>
      <c r="AD44" s="58">
        <f t="shared" si="20"/>
        <v>674.41862248369944</v>
      </c>
      <c r="AE44" s="58">
        <f t="shared" si="20"/>
        <v>636.72765309650458</v>
      </c>
      <c r="AF44" s="58">
        <f t="shared" si="20"/>
        <v>600.8145995715804</v>
      </c>
      <c r="AG44" s="58">
        <f t="shared" si="20"/>
        <v>566.60231792262675</v>
      </c>
      <c r="AH44" s="58">
        <f t="shared" si="20"/>
        <v>534.01684849425692</v>
      </c>
      <c r="AI44" s="58">
        <f t="shared" si="20"/>
        <v>502.98728881466013</v>
      </c>
      <c r="AJ44" s="58">
        <f t="shared" si="20"/>
        <v>473.44567140618346</v>
      </c>
      <c r="AK44" s="58">
        <f t="shared" si="20"/>
        <v>445.32684636387057</v>
      </c>
      <c r="AL44" s="58">
        <f t="shared" si="20"/>
        <v>418.56836851924891</v>
      </c>
      <c r="AM44" s="58">
        <f t="shared" ref="AM44:AN44" si="21">AM43-AM42</f>
        <v>393.11038901348547</v>
      </c>
      <c r="AN44" s="58">
        <f t="shared" si="21"/>
        <v>368.89555111080153</v>
      </c>
      <c r="AO44" s="58"/>
      <c r="AP44" s="58"/>
    </row>
    <row r="45" spans="1:42" x14ac:dyDescent="0.35">
      <c r="B45" s="27" t="s">
        <v>104</v>
      </c>
      <c r="G45" s="91">
        <f>G44/G42</f>
        <v>0</v>
      </c>
      <c r="H45" s="59"/>
      <c r="I45" s="91">
        <f>I44/I42</f>
        <v>0.17103790905218744</v>
      </c>
      <c r="J45" s="91">
        <f t="shared" ref="J45:AL45" si="22">J44/J42</f>
        <v>0.1661249614106643</v>
      </c>
      <c r="K45" s="91">
        <f t="shared" si="22"/>
        <v>0.16524131792624586</v>
      </c>
      <c r="L45" s="91">
        <f t="shared" si="22"/>
        <v>0.16491585289745936</v>
      </c>
      <c r="M45" s="91">
        <f t="shared" si="22"/>
        <v>0.16442343818665142</v>
      </c>
      <c r="N45" s="91">
        <f t="shared" si="22"/>
        <v>0.16869775118104824</v>
      </c>
      <c r="O45" s="91">
        <f t="shared" si="22"/>
        <v>0.16026634767303233</v>
      </c>
      <c r="P45" s="91">
        <f t="shared" si="22"/>
        <v>0.15221226959987716</v>
      </c>
      <c r="Q45" s="91">
        <f t="shared" si="22"/>
        <v>0.14451963910356247</v>
      </c>
      <c r="R45" s="91">
        <f t="shared" si="22"/>
        <v>0.13717322070012991</v>
      </c>
      <c r="S45" s="91">
        <f t="shared" si="22"/>
        <v>0.13015839599123147</v>
      </c>
      <c r="T45" s="91">
        <f t="shared" si="22"/>
        <v>0.12346113935141442</v>
      </c>
      <c r="U45" s="91">
        <f t="shared" si="22"/>
        <v>0.1170679945540824</v>
      </c>
      <c r="V45" s="91">
        <f t="shared" si="22"/>
        <v>0.11096605230043721</v>
      </c>
      <c r="W45" s="91">
        <f t="shared" si="22"/>
        <v>0.10514292861707131</v>
      </c>
      <c r="X45" s="91">
        <f t="shared" si="22"/>
        <v>9.9586744089151011E-2</v>
      </c>
      <c r="Y45" s="91">
        <f t="shared" si="22"/>
        <v>9.4286103897380194E-2</v>
      </c>
      <c r="Z45" s="91">
        <f t="shared" si="22"/>
        <v>8.9230078628137047E-2</v>
      </c>
      <c r="AA45" s="91">
        <f t="shared" si="22"/>
        <v>8.4408185827313187E-2</v>
      </c>
      <c r="AB45" s="91">
        <f t="shared" si="22"/>
        <v>7.9810372269505409E-2</v>
      </c>
      <c r="AC45" s="91">
        <f t="shared" si="22"/>
        <v>7.5426996915272798E-2</v>
      </c>
      <c r="AD45" s="91">
        <f t="shared" si="22"/>
        <v>7.1248814530196644E-2</v>
      </c>
      <c r="AE45" s="91">
        <f t="shared" si="22"/>
        <v>6.7266959940473367E-2</v>
      </c>
      <c r="AF45" s="91">
        <f t="shared" si="22"/>
        <v>6.3472932900728932E-2</v>
      </c>
      <c r="AG45" s="91">
        <f t="shared" si="22"/>
        <v>5.9858583550641012E-2</v>
      </c>
      <c r="AH45" s="91">
        <f t="shared" si="22"/>
        <v>5.641609843786162E-2</v>
      </c>
      <c r="AI45" s="91">
        <f t="shared" si="22"/>
        <v>5.3137987085563235E-2</v>
      </c>
      <c r="AJ45" s="91">
        <f t="shared" si="22"/>
        <v>5.0017069083763153E-2</v>
      </c>
      <c r="AK45" s="91">
        <f t="shared" si="22"/>
        <v>4.7046461684357867E-2</v>
      </c>
      <c r="AL45" s="91">
        <f t="shared" si="22"/>
        <v>4.421956788056481E-2</v>
      </c>
      <c r="AM45" s="91">
        <f t="shared" ref="AM45:AN45" si="23">AM44/AM42</f>
        <v>4.1530064952191074E-2</v>
      </c>
      <c r="AN45" s="91">
        <f t="shared" si="23"/>
        <v>3.8971893458863434E-2</v>
      </c>
      <c r="AO45" s="91"/>
      <c r="AP45" s="91"/>
    </row>
    <row r="46" spans="1:42" x14ac:dyDescent="0.35">
      <c r="B46" s="27"/>
      <c r="F46" s="40"/>
      <c r="G46" s="60"/>
      <c r="H46" s="60"/>
      <c r="I46" s="111"/>
      <c r="J46" s="111"/>
      <c r="K46" s="111"/>
      <c r="L46" s="111"/>
      <c r="M46" s="110"/>
      <c r="N46" s="111"/>
      <c r="O46" s="111"/>
      <c r="P46" s="108"/>
      <c r="Q46" s="108"/>
      <c r="R46" s="108"/>
    </row>
    <row r="47" spans="1:42" x14ac:dyDescent="0.35">
      <c r="A47" s="42" t="s">
        <v>76</v>
      </c>
      <c r="G47" s="56"/>
      <c r="H47" s="56"/>
      <c r="I47" s="108"/>
      <c r="J47" s="108"/>
      <c r="K47" s="108"/>
      <c r="L47" s="108"/>
      <c r="M47" s="108"/>
      <c r="N47" s="108"/>
      <c r="O47" s="108"/>
      <c r="P47" s="108"/>
      <c r="Q47" s="108"/>
      <c r="R47" s="108"/>
    </row>
    <row r="48" spans="1:42" x14ac:dyDescent="0.35">
      <c r="A48" s="42"/>
      <c r="B48" s="27" t="s">
        <v>147</v>
      </c>
      <c r="F48" s="44"/>
      <c r="G48" s="60">
        <f>G34*G41/100</f>
        <v>5042.5511021600887</v>
      </c>
      <c r="H48" s="60"/>
      <c r="I48" s="60">
        <f t="shared" ref="I48:AL48" si="24">I34*I41/100</f>
        <v>9150.4326216157733</v>
      </c>
      <c r="J48" s="60">
        <f t="shared" si="24"/>
        <v>9423.664475213116</v>
      </c>
      <c r="K48" s="60">
        <f t="shared" si="24"/>
        <v>9465.6820177389491</v>
      </c>
      <c r="L48" s="60">
        <f t="shared" si="24"/>
        <v>9465.6820177389491</v>
      </c>
      <c r="M48" s="60">
        <f t="shared" si="24"/>
        <v>9465.6820177389491</v>
      </c>
      <c r="N48" s="60">
        <f t="shared" si="24"/>
        <v>9465.6820177389491</v>
      </c>
      <c r="O48" s="60">
        <f t="shared" si="24"/>
        <v>9465.6820177389509</v>
      </c>
      <c r="P48" s="60">
        <f t="shared" si="24"/>
        <v>9465.6820177389491</v>
      </c>
      <c r="Q48" s="60">
        <f t="shared" si="24"/>
        <v>9465.6820177389491</v>
      </c>
      <c r="R48" s="60">
        <f t="shared" si="24"/>
        <v>9465.6820177389491</v>
      </c>
      <c r="S48" s="60">
        <f t="shared" si="24"/>
        <v>9465.6820177389491</v>
      </c>
      <c r="T48" s="60">
        <f t="shared" si="24"/>
        <v>9465.6820177389473</v>
      </c>
      <c r="U48" s="60">
        <f t="shared" si="24"/>
        <v>9465.6820177389454</v>
      </c>
      <c r="V48" s="60">
        <f t="shared" si="24"/>
        <v>9465.6820177389454</v>
      </c>
      <c r="W48" s="60">
        <f t="shared" si="24"/>
        <v>9465.6820177389454</v>
      </c>
      <c r="X48" s="60">
        <f t="shared" si="24"/>
        <v>9465.6820177389454</v>
      </c>
      <c r="Y48" s="60">
        <f t="shared" si="24"/>
        <v>9465.6820177389454</v>
      </c>
      <c r="Z48" s="60">
        <f t="shared" si="24"/>
        <v>9465.6820177389454</v>
      </c>
      <c r="AA48" s="60">
        <f t="shared" si="24"/>
        <v>9465.6820177389436</v>
      </c>
      <c r="AB48" s="60">
        <f t="shared" si="24"/>
        <v>9465.6820177389436</v>
      </c>
      <c r="AC48" s="60">
        <f t="shared" si="24"/>
        <v>9465.6820177389436</v>
      </c>
      <c r="AD48" s="60">
        <f t="shared" si="24"/>
        <v>9465.6820177389418</v>
      </c>
      <c r="AE48" s="60">
        <f t="shared" si="24"/>
        <v>9465.6820177389436</v>
      </c>
      <c r="AF48" s="60">
        <f t="shared" si="24"/>
        <v>9465.6820177389436</v>
      </c>
      <c r="AG48" s="60">
        <f t="shared" si="24"/>
        <v>9465.6820177389436</v>
      </c>
      <c r="AH48" s="60">
        <f t="shared" si="24"/>
        <v>9465.6820177389454</v>
      </c>
      <c r="AI48" s="60">
        <f t="shared" si="24"/>
        <v>9465.6820177389436</v>
      </c>
      <c r="AJ48" s="60">
        <f t="shared" si="24"/>
        <v>9465.6820177389454</v>
      </c>
      <c r="AK48" s="60">
        <f t="shared" si="24"/>
        <v>9465.6820177389454</v>
      </c>
      <c r="AL48" s="60">
        <f t="shared" si="24"/>
        <v>9465.6820177389436</v>
      </c>
      <c r="AM48" s="60">
        <f t="shared" ref="AM48:AN48" si="25">AM34*AM41/100</f>
        <v>9465.6820177389454</v>
      </c>
      <c r="AN48" s="60">
        <f t="shared" si="25"/>
        <v>9465.6820177389436</v>
      </c>
      <c r="AO48" s="60"/>
      <c r="AP48" s="60"/>
    </row>
    <row r="49" spans="1:42" x14ac:dyDescent="0.35">
      <c r="B49" s="27" t="s">
        <v>148</v>
      </c>
      <c r="F49" s="40"/>
      <c r="G49" s="60">
        <f>G35*G41/100</f>
        <v>5042.5511021600887</v>
      </c>
      <c r="H49" s="60"/>
      <c r="I49" s="60">
        <f t="shared" ref="I49:AL49" si="26">I35*I41/100</f>
        <v>10715.503484139861</v>
      </c>
      <c r="J49" s="60">
        <f t="shared" si="26"/>
        <v>10989.170372504943</v>
      </c>
      <c r="K49" s="60">
        <f t="shared" si="26"/>
        <v>11029.803789420899</v>
      </c>
      <c r="L49" s="60">
        <f t="shared" si="26"/>
        <v>11026.723040950512</v>
      </c>
      <c r="M49" s="60">
        <f t="shared" si="26"/>
        <v>11022.061999877147</v>
      </c>
      <c r="N49" s="60">
        <f t="shared" si="26"/>
        <v>11062.521287526397</v>
      </c>
      <c r="O49" s="60">
        <f t="shared" si="26"/>
        <v>10982.712302956272</v>
      </c>
      <c r="P49" s="60">
        <f t="shared" si="26"/>
        <v>10906.474960969739</v>
      </c>
      <c r="Q49" s="60">
        <f t="shared" si="26"/>
        <v>10833.658966811663</v>
      </c>
      <c r="R49" s="60">
        <f t="shared" si="26"/>
        <v>10764.120106235505</v>
      </c>
      <c r="S49" s="60">
        <f t="shared" si="26"/>
        <v>10697.720006130894</v>
      </c>
      <c r="T49" s="60">
        <f t="shared" si="26"/>
        <v>10634.325904387193</v>
      </c>
      <c r="U49" s="60">
        <f t="shared" si="26"/>
        <v>10573.810428642284</v>
      </c>
      <c r="V49" s="60">
        <f t="shared" si="26"/>
        <v>10516.051383578673</v>
      </c>
      <c r="W49" s="60">
        <f t="shared" si="26"/>
        <v>10460.931546441967</v>
      </c>
      <c r="X49" s="60">
        <f t="shared" si="26"/>
        <v>10408.338470468792</v>
      </c>
      <c r="Y49" s="60">
        <f t="shared" si="26"/>
        <v>10358.164295923043</v>
      </c>
      <c r="Z49" s="60">
        <f t="shared" si="26"/>
        <v>10310.305568450734</v>
      </c>
      <c r="AA49" s="60">
        <f t="shared" si="26"/>
        <v>10264.663064474509</v>
      </c>
      <c r="AB49" s="60">
        <f t="shared" si="26"/>
        <v>10221.141623359452</v>
      </c>
      <c r="AC49" s="60">
        <f t="shared" si="26"/>
        <v>10179.649986091892</v>
      </c>
      <c r="AD49" s="60">
        <f t="shared" si="26"/>
        <v>10140.100640222641</v>
      </c>
      <c r="AE49" s="60">
        <f t="shared" si="26"/>
        <v>10102.409670835448</v>
      </c>
      <c r="AF49" s="60">
        <f t="shared" si="26"/>
        <v>10066.496617310524</v>
      </c>
      <c r="AG49" s="60">
        <f t="shared" si="26"/>
        <v>10032.28433566157</v>
      </c>
      <c r="AH49" s="60">
        <f t="shared" si="26"/>
        <v>9999.6988662332024</v>
      </c>
      <c r="AI49" s="60">
        <f t="shared" si="26"/>
        <v>9968.6693065536037</v>
      </c>
      <c r="AJ49" s="60">
        <f t="shared" si="26"/>
        <v>9939.1276891451289</v>
      </c>
      <c r="AK49" s="60">
        <f t="shared" si="26"/>
        <v>9911.008864102816</v>
      </c>
      <c r="AL49" s="60">
        <f t="shared" si="26"/>
        <v>9884.2503862581925</v>
      </c>
      <c r="AM49" s="60">
        <f t="shared" ref="AM49:AN49" si="27">AM35*AM41/100</f>
        <v>9858.7924067524309</v>
      </c>
      <c r="AN49" s="60">
        <f t="shared" si="27"/>
        <v>9834.5775688497451</v>
      </c>
      <c r="AO49" s="60"/>
      <c r="AP49" s="60"/>
    </row>
    <row r="50" spans="1:42" x14ac:dyDescent="0.35">
      <c r="B50" s="27" t="s">
        <v>66</v>
      </c>
      <c r="F50" s="40"/>
      <c r="G50" s="60">
        <f>(G35-G34)*G41/100</f>
        <v>0</v>
      </c>
      <c r="H50" s="60"/>
      <c r="I50" s="60">
        <f t="shared" ref="I50:AL50" si="28">(I35-I34)*I41/100</f>
        <v>1565.0708625240884</v>
      </c>
      <c r="J50" s="60">
        <f t="shared" si="28"/>
        <v>1565.5058972918275</v>
      </c>
      <c r="K50" s="60">
        <f t="shared" si="28"/>
        <v>1564.1217716819508</v>
      </c>
      <c r="L50" s="60">
        <f t="shared" si="28"/>
        <v>1561.0410232115642</v>
      </c>
      <c r="M50" s="60">
        <f t="shared" si="28"/>
        <v>1556.3799821381958</v>
      </c>
      <c r="N50" s="60">
        <f t="shared" si="28"/>
        <v>1596.8392697874488</v>
      </c>
      <c r="O50" s="60">
        <f t="shared" si="28"/>
        <v>1517.0302852173193</v>
      </c>
      <c r="P50" s="60">
        <f t="shared" si="28"/>
        <v>1440.7929432307906</v>
      </c>
      <c r="Q50" s="60">
        <f t="shared" si="28"/>
        <v>1367.9769490727133</v>
      </c>
      <c r="R50" s="60">
        <f t="shared" si="28"/>
        <v>1298.4380884965572</v>
      </c>
      <c r="S50" s="60">
        <f t="shared" si="28"/>
        <v>1232.0379883919452</v>
      </c>
      <c r="T50" s="60">
        <f t="shared" si="28"/>
        <v>1168.6438866482467</v>
      </c>
      <c r="U50" s="60">
        <f t="shared" si="28"/>
        <v>1108.1284109033368</v>
      </c>
      <c r="V50" s="60">
        <f t="shared" si="28"/>
        <v>1050.3693658397262</v>
      </c>
      <c r="W50" s="60">
        <f t="shared" si="28"/>
        <v>995.24952870302218</v>
      </c>
      <c r="X50" s="60">
        <f t="shared" si="28"/>
        <v>942.65645272984682</v>
      </c>
      <c r="Y50" s="60">
        <f t="shared" si="28"/>
        <v>892.48227818409669</v>
      </c>
      <c r="Z50" s="60">
        <f t="shared" si="28"/>
        <v>844.62355071178956</v>
      </c>
      <c r="AA50" s="60">
        <f t="shared" si="28"/>
        <v>798.98104673556475</v>
      </c>
      <c r="AB50" s="60">
        <f t="shared" si="28"/>
        <v>755.45960562050823</v>
      </c>
      <c r="AC50" s="60">
        <f t="shared" si="28"/>
        <v>713.96796835294936</v>
      </c>
      <c r="AD50" s="60">
        <f t="shared" si="28"/>
        <v>674.41862248369898</v>
      </c>
      <c r="AE50" s="60">
        <f t="shared" si="28"/>
        <v>636.72765309650401</v>
      </c>
      <c r="AF50" s="60">
        <f t="shared" si="28"/>
        <v>600.81459957158052</v>
      </c>
      <c r="AG50" s="60">
        <f t="shared" si="28"/>
        <v>566.60231792262744</v>
      </c>
      <c r="AH50" s="60">
        <f t="shared" si="28"/>
        <v>534.01684849425669</v>
      </c>
      <c r="AI50" s="60">
        <f t="shared" si="28"/>
        <v>502.98728881466019</v>
      </c>
      <c r="AJ50" s="60">
        <f t="shared" si="28"/>
        <v>473.44567140618278</v>
      </c>
      <c r="AK50" s="60">
        <f t="shared" si="28"/>
        <v>445.32684636387</v>
      </c>
      <c r="AL50" s="60">
        <f t="shared" si="28"/>
        <v>418.56836851924885</v>
      </c>
      <c r="AM50" s="60">
        <f t="shared" ref="AM50:AN50" si="29">(AM35-AM34)*AM41/100</f>
        <v>393.11038901348627</v>
      </c>
      <c r="AN50" s="60">
        <f t="shared" si="29"/>
        <v>368.89555111080136</v>
      </c>
      <c r="AO50" s="60"/>
      <c r="AP50" s="60"/>
    </row>
    <row r="51" spans="1:42" x14ac:dyDescent="0.35">
      <c r="B51" s="27" t="s">
        <v>67</v>
      </c>
      <c r="G51" s="59">
        <f>G50/G48</f>
        <v>0</v>
      </c>
      <c r="H51" s="59"/>
      <c r="I51" s="59">
        <f t="shared" ref="I51:AL51" si="30">I50/I48</f>
        <v>0.17103790905218752</v>
      </c>
      <c r="J51" s="59">
        <f t="shared" si="30"/>
        <v>0.16612496141066435</v>
      </c>
      <c r="K51" s="59">
        <f t="shared" si="30"/>
        <v>0.16524131792624594</v>
      </c>
      <c r="L51" s="59">
        <f t="shared" si="30"/>
        <v>0.1649158528974595</v>
      </c>
      <c r="M51" s="59">
        <f t="shared" si="30"/>
        <v>0.1644234381866512</v>
      </c>
      <c r="N51" s="59">
        <f t="shared" si="30"/>
        <v>0.16869775118104832</v>
      </c>
      <c r="O51" s="59">
        <f t="shared" si="30"/>
        <v>0.16026634767303216</v>
      </c>
      <c r="P51" s="59">
        <f t="shared" si="30"/>
        <v>0.15221226959987721</v>
      </c>
      <c r="Q51" s="59">
        <f t="shared" si="30"/>
        <v>0.14451963910356241</v>
      </c>
      <c r="R51" s="59">
        <f t="shared" si="30"/>
        <v>0.13717322070013005</v>
      </c>
      <c r="S51" s="59">
        <f t="shared" si="30"/>
        <v>0.1301583959912315</v>
      </c>
      <c r="T51" s="59">
        <f t="shared" si="30"/>
        <v>0.12346113935141452</v>
      </c>
      <c r="U51" s="59">
        <f t="shared" si="30"/>
        <v>0.11706799455408221</v>
      </c>
      <c r="V51" s="59">
        <f t="shared" si="30"/>
        <v>0.11096605230043705</v>
      </c>
      <c r="W51" s="59">
        <f t="shared" si="30"/>
        <v>0.10514292861707139</v>
      </c>
      <c r="X51" s="59">
        <f t="shared" si="30"/>
        <v>9.9586744089150997E-2</v>
      </c>
      <c r="Y51" s="59">
        <f t="shared" si="30"/>
        <v>9.4286103897380097E-2</v>
      </c>
      <c r="Z51" s="59">
        <f t="shared" si="30"/>
        <v>8.9230078628137102E-2</v>
      </c>
      <c r="AA51" s="59">
        <f t="shared" si="30"/>
        <v>8.4408185827313104E-2</v>
      </c>
      <c r="AB51" s="59">
        <f t="shared" si="30"/>
        <v>7.9810372269505409E-2</v>
      </c>
      <c r="AC51" s="59">
        <f t="shared" si="30"/>
        <v>7.5426996915272895E-2</v>
      </c>
      <c r="AD51" s="59">
        <f t="shared" si="30"/>
        <v>7.1248814530196602E-2</v>
      </c>
      <c r="AE51" s="59">
        <f t="shared" si="30"/>
        <v>6.7266959940473298E-2</v>
      </c>
      <c r="AF51" s="59">
        <f t="shared" si="30"/>
        <v>6.3472932900728946E-2</v>
      </c>
      <c r="AG51" s="59">
        <f t="shared" si="30"/>
        <v>5.9858583550641081E-2</v>
      </c>
      <c r="AH51" s="59">
        <f t="shared" si="30"/>
        <v>5.6416098437861592E-2</v>
      </c>
      <c r="AI51" s="59">
        <f t="shared" si="30"/>
        <v>5.3137987085563242E-2</v>
      </c>
      <c r="AJ51" s="59">
        <f t="shared" si="30"/>
        <v>5.0017069083763084E-2</v>
      </c>
      <c r="AK51" s="59">
        <f t="shared" si="30"/>
        <v>4.7046461684357811E-2</v>
      </c>
      <c r="AL51" s="59">
        <f t="shared" si="30"/>
        <v>4.4219567880564803E-2</v>
      </c>
      <c r="AM51" s="59">
        <f t="shared" ref="AM51:AN51" si="31">AM50/AM48</f>
        <v>4.1530064952191158E-2</v>
      </c>
      <c r="AN51" s="59">
        <f t="shared" si="31"/>
        <v>3.8971893458863413E-2</v>
      </c>
      <c r="AO51" s="59"/>
      <c r="AP51" s="59"/>
    </row>
    <row r="52" spans="1:42" x14ac:dyDescent="0.35">
      <c r="B52" s="27"/>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row>
    <row r="53" spans="1:42" s="138" customFormat="1" x14ac:dyDescent="0.35">
      <c r="A53" s="147" t="s">
        <v>77</v>
      </c>
      <c r="E53" s="148"/>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row>
    <row r="54" spans="1:42" x14ac:dyDescent="0.35">
      <c r="B54" s="27" t="s">
        <v>78</v>
      </c>
      <c r="F54" s="51"/>
      <c r="G54" s="60">
        <f>IF(AND(G40&gt;=90000, G67&gt;0), G67, 0)</f>
        <v>0</v>
      </c>
      <c r="H54" s="60"/>
      <c r="I54" s="60">
        <f t="shared" ref="I54:AL54" si="32">IF(AND(I40&gt;=90000, I67&gt;0), I67, 0)</f>
        <v>0</v>
      </c>
      <c r="J54" s="60">
        <f t="shared" si="32"/>
        <v>0</v>
      </c>
      <c r="K54" s="60">
        <f t="shared" si="32"/>
        <v>0</v>
      </c>
      <c r="L54" s="60">
        <f t="shared" si="32"/>
        <v>0</v>
      </c>
      <c r="M54" s="60">
        <f t="shared" si="32"/>
        <v>0</v>
      </c>
      <c r="N54" s="60">
        <f t="shared" si="32"/>
        <v>0</v>
      </c>
      <c r="O54" s="60">
        <f t="shared" si="32"/>
        <v>0</v>
      </c>
      <c r="P54" s="60">
        <f t="shared" si="32"/>
        <v>0</v>
      </c>
      <c r="Q54" s="60">
        <f t="shared" si="32"/>
        <v>0</v>
      </c>
      <c r="R54" s="60">
        <f t="shared" si="32"/>
        <v>0</v>
      </c>
      <c r="S54" s="60">
        <f t="shared" si="32"/>
        <v>0</v>
      </c>
      <c r="T54" s="60">
        <f t="shared" si="32"/>
        <v>0</v>
      </c>
      <c r="U54" s="60">
        <f t="shared" si="32"/>
        <v>0</v>
      </c>
      <c r="V54" s="60">
        <f t="shared" si="32"/>
        <v>0</v>
      </c>
      <c r="W54" s="60">
        <f t="shared" si="32"/>
        <v>0</v>
      </c>
      <c r="X54" s="60">
        <f t="shared" si="32"/>
        <v>0</v>
      </c>
      <c r="Y54" s="60">
        <f t="shared" si="32"/>
        <v>0</v>
      </c>
      <c r="Z54" s="60">
        <f t="shared" si="32"/>
        <v>0</v>
      </c>
      <c r="AA54" s="60">
        <f t="shared" si="32"/>
        <v>0</v>
      </c>
      <c r="AB54" s="60">
        <f t="shared" si="32"/>
        <v>0</v>
      </c>
      <c r="AC54" s="60">
        <f t="shared" si="32"/>
        <v>0</v>
      </c>
      <c r="AD54" s="60">
        <f t="shared" si="32"/>
        <v>0</v>
      </c>
      <c r="AE54" s="60">
        <f t="shared" si="32"/>
        <v>0</v>
      </c>
      <c r="AF54" s="60">
        <f t="shared" si="32"/>
        <v>0</v>
      </c>
      <c r="AG54" s="60">
        <f t="shared" si="32"/>
        <v>0</v>
      </c>
      <c r="AH54" s="60">
        <f t="shared" si="32"/>
        <v>0</v>
      </c>
      <c r="AI54" s="60">
        <f t="shared" si="32"/>
        <v>0</v>
      </c>
      <c r="AJ54" s="60">
        <f t="shared" si="32"/>
        <v>0</v>
      </c>
      <c r="AK54" s="60">
        <f t="shared" si="32"/>
        <v>0</v>
      </c>
      <c r="AL54" s="60">
        <f t="shared" si="32"/>
        <v>0</v>
      </c>
      <c r="AM54" s="60">
        <f t="shared" ref="AM54:AN54" si="33">IF(AND(AM40&gt;=90000, AM67&gt;0), AM67, 0)</f>
        <v>0</v>
      </c>
      <c r="AN54" s="60">
        <f t="shared" si="33"/>
        <v>0</v>
      </c>
      <c r="AO54" s="60"/>
      <c r="AP54" s="60"/>
    </row>
    <row r="55" spans="1:42" x14ac:dyDescent="0.35">
      <c r="B55" s="27" t="s">
        <v>79</v>
      </c>
      <c r="F55" s="51"/>
      <c r="G55" s="60">
        <f>IF(AND(G40&gt;=90000, G68&gt;0), G68, 0)</f>
        <v>0</v>
      </c>
      <c r="H55" s="60"/>
      <c r="I55" s="60">
        <f t="shared" ref="I55:AL55" si="34">IF(AND(I40&gt;=90000, I68&gt;0), I68, 0)</f>
        <v>0</v>
      </c>
      <c r="J55" s="60">
        <f t="shared" si="34"/>
        <v>0</v>
      </c>
      <c r="K55" s="60">
        <f t="shared" si="34"/>
        <v>0</v>
      </c>
      <c r="L55" s="60">
        <f t="shared" si="34"/>
        <v>0</v>
      </c>
      <c r="M55" s="60">
        <f t="shared" si="34"/>
        <v>0</v>
      </c>
      <c r="N55" s="60">
        <f t="shared" si="34"/>
        <v>0</v>
      </c>
      <c r="O55" s="60">
        <f t="shared" si="34"/>
        <v>0</v>
      </c>
      <c r="P55" s="60">
        <f t="shared" si="34"/>
        <v>0</v>
      </c>
      <c r="Q55" s="60">
        <f t="shared" si="34"/>
        <v>0</v>
      </c>
      <c r="R55" s="60">
        <f t="shared" si="34"/>
        <v>0</v>
      </c>
      <c r="S55" s="60">
        <f t="shared" si="34"/>
        <v>0</v>
      </c>
      <c r="T55" s="60">
        <f t="shared" si="34"/>
        <v>0</v>
      </c>
      <c r="U55" s="60">
        <f t="shared" si="34"/>
        <v>0</v>
      </c>
      <c r="V55" s="60">
        <f t="shared" si="34"/>
        <v>0</v>
      </c>
      <c r="W55" s="60">
        <f t="shared" si="34"/>
        <v>0</v>
      </c>
      <c r="X55" s="60">
        <f t="shared" si="34"/>
        <v>0</v>
      </c>
      <c r="Y55" s="60">
        <f t="shared" si="34"/>
        <v>0</v>
      </c>
      <c r="Z55" s="60">
        <f t="shared" si="34"/>
        <v>0</v>
      </c>
      <c r="AA55" s="60">
        <f t="shared" si="34"/>
        <v>0</v>
      </c>
      <c r="AB55" s="60">
        <f t="shared" si="34"/>
        <v>0</v>
      </c>
      <c r="AC55" s="60">
        <f t="shared" si="34"/>
        <v>0</v>
      </c>
      <c r="AD55" s="60">
        <f t="shared" si="34"/>
        <v>0</v>
      </c>
      <c r="AE55" s="60">
        <f t="shared" si="34"/>
        <v>0</v>
      </c>
      <c r="AF55" s="60">
        <f t="shared" si="34"/>
        <v>0</v>
      </c>
      <c r="AG55" s="60">
        <f t="shared" si="34"/>
        <v>0</v>
      </c>
      <c r="AH55" s="60">
        <f t="shared" si="34"/>
        <v>0</v>
      </c>
      <c r="AI55" s="60">
        <f t="shared" si="34"/>
        <v>0</v>
      </c>
      <c r="AJ55" s="60">
        <f t="shared" si="34"/>
        <v>0</v>
      </c>
      <c r="AK55" s="60">
        <f t="shared" si="34"/>
        <v>0</v>
      </c>
      <c r="AL55" s="60">
        <f t="shared" si="34"/>
        <v>0</v>
      </c>
      <c r="AM55" s="60">
        <f t="shared" ref="AM55:AN55" si="35">IF(AND(AM40&gt;=90000, AM68&gt;0), AM68, 0)</f>
        <v>0</v>
      </c>
      <c r="AN55" s="60">
        <f t="shared" si="35"/>
        <v>0</v>
      </c>
      <c r="AO55" s="60"/>
      <c r="AP55" s="60"/>
    </row>
    <row r="56" spans="1:42" x14ac:dyDescent="0.35">
      <c r="B56" s="27" t="s">
        <v>80</v>
      </c>
      <c r="F56" s="51"/>
      <c r="G56" s="60">
        <f>IF(AND(G40&gt;=47000, G40&lt;90000, G71&gt;0), G71, 0)</f>
        <v>0</v>
      </c>
      <c r="H56" s="60"/>
      <c r="I56" s="60">
        <f t="shared" ref="I56:AL56" si="36">IF(AND(I40&gt;=47000, I40&lt;90000, I71&gt;0), I71, 0)</f>
        <v>0</v>
      </c>
      <c r="J56" s="60">
        <f t="shared" si="36"/>
        <v>0</v>
      </c>
      <c r="K56" s="60">
        <f t="shared" si="36"/>
        <v>0</v>
      </c>
      <c r="L56" s="60">
        <f t="shared" si="36"/>
        <v>0</v>
      </c>
      <c r="M56" s="60">
        <f t="shared" si="36"/>
        <v>0</v>
      </c>
      <c r="N56" s="60">
        <f t="shared" si="36"/>
        <v>0</v>
      </c>
      <c r="O56" s="60">
        <f t="shared" si="36"/>
        <v>0</v>
      </c>
      <c r="P56" s="60">
        <f t="shared" si="36"/>
        <v>0</v>
      </c>
      <c r="Q56" s="60">
        <f t="shared" si="36"/>
        <v>0</v>
      </c>
      <c r="R56" s="60">
        <f t="shared" si="36"/>
        <v>0</v>
      </c>
      <c r="S56" s="60">
        <f t="shared" si="36"/>
        <v>0</v>
      </c>
      <c r="T56" s="60">
        <f t="shared" si="36"/>
        <v>0</v>
      </c>
      <c r="U56" s="60">
        <f t="shared" si="36"/>
        <v>0</v>
      </c>
      <c r="V56" s="60">
        <f t="shared" si="36"/>
        <v>0</v>
      </c>
      <c r="W56" s="60">
        <f t="shared" si="36"/>
        <v>0</v>
      </c>
      <c r="X56" s="60">
        <f t="shared" si="36"/>
        <v>0</v>
      </c>
      <c r="Y56" s="60">
        <f t="shared" si="36"/>
        <v>0</v>
      </c>
      <c r="Z56" s="60">
        <f t="shared" si="36"/>
        <v>0</v>
      </c>
      <c r="AA56" s="60">
        <f t="shared" si="36"/>
        <v>0</v>
      </c>
      <c r="AB56" s="60">
        <f t="shared" si="36"/>
        <v>0</v>
      </c>
      <c r="AC56" s="60">
        <f t="shared" si="36"/>
        <v>0</v>
      </c>
      <c r="AD56" s="60">
        <f t="shared" si="36"/>
        <v>0</v>
      </c>
      <c r="AE56" s="60">
        <f t="shared" si="36"/>
        <v>0</v>
      </c>
      <c r="AF56" s="60">
        <f t="shared" si="36"/>
        <v>0</v>
      </c>
      <c r="AG56" s="60">
        <f t="shared" si="36"/>
        <v>0</v>
      </c>
      <c r="AH56" s="60">
        <f t="shared" si="36"/>
        <v>0</v>
      </c>
      <c r="AI56" s="60">
        <f t="shared" si="36"/>
        <v>0</v>
      </c>
      <c r="AJ56" s="60">
        <f t="shared" si="36"/>
        <v>0</v>
      </c>
      <c r="AK56" s="60">
        <f t="shared" si="36"/>
        <v>0</v>
      </c>
      <c r="AL56" s="60">
        <f t="shared" si="36"/>
        <v>0</v>
      </c>
      <c r="AM56" s="60">
        <f t="shared" ref="AM56:AN56" si="37">IF(AND(AM40&gt;=47000, AM40&lt;90000, AM71&gt;0), AM71, 0)</f>
        <v>0</v>
      </c>
      <c r="AN56" s="60">
        <f t="shared" si="37"/>
        <v>0</v>
      </c>
      <c r="AO56" s="60"/>
      <c r="AP56" s="60"/>
    </row>
    <row r="57" spans="1:42" x14ac:dyDescent="0.35">
      <c r="B57" s="27" t="s">
        <v>81</v>
      </c>
      <c r="F57" s="51"/>
      <c r="G57" s="60">
        <f>IF(AND(G40&gt;=47000, G40&lt;90000, G72&gt;0), G72, 0)</f>
        <v>0</v>
      </c>
      <c r="H57" s="60"/>
      <c r="I57" s="60">
        <f t="shared" ref="I57:AL57" si="38">IF(AND(I40&gt;=47000, I40&lt;90000, I72&gt;0), I72, 0)</f>
        <v>0</v>
      </c>
      <c r="J57" s="60">
        <f t="shared" si="38"/>
        <v>0</v>
      </c>
      <c r="K57" s="60">
        <f t="shared" si="38"/>
        <v>0</v>
      </c>
      <c r="L57" s="60">
        <f t="shared" si="38"/>
        <v>0</v>
      </c>
      <c r="M57" s="60">
        <f t="shared" si="38"/>
        <v>0</v>
      </c>
      <c r="N57" s="60">
        <f t="shared" si="38"/>
        <v>0</v>
      </c>
      <c r="O57" s="60">
        <f t="shared" si="38"/>
        <v>0</v>
      </c>
      <c r="P57" s="60">
        <f t="shared" si="38"/>
        <v>0</v>
      </c>
      <c r="Q57" s="60">
        <f t="shared" si="38"/>
        <v>0</v>
      </c>
      <c r="R57" s="60">
        <f t="shared" si="38"/>
        <v>0</v>
      </c>
      <c r="S57" s="60">
        <f t="shared" si="38"/>
        <v>0</v>
      </c>
      <c r="T57" s="60">
        <f t="shared" si="38"/>
        <v>0</v>
      </c>
      <c r="U57" s="60">
        <f t="shared" si="38"/>
        <v>0</v>
      </c>
      <c r="V57" s="60">
        <f t="shared" si="38"/>
        <v>0</v>
      </c>
      <c r="W57" s="60">
        <f t="shared" si="38"/>
        <v>0</v>
      </c>
      <c r="X57" s="60">
        <f t="shared" si="38"/>
        <v>0</v>
      </c>
      <c r="Y57" s="60">
        <f t="shared" si="38"/>
        <v>0</v>
      </c>
      <c r="Z57" s="60">
        <f t="shared" si="38"/>
        <v>0</v>
      </c>
      <c r="AA57" s="60">
        <f t="shared" si="38"/>
        <v>0</v>
      </c>
      <c r="AB57" s="60">
        <f t="shared" si="38"/>
        <v>0</v>
      </c>
      <c r="AC57" s="60">
        <f t="shared" si="38"/>
        <v>0</v>
      </c>
      <c r="AD57" s="60">
        <f t="shared" si="38"/>
        <v>0</v>
      </c>
      <c r="AE57" s="60">
        <f t="shared" si="38"/>
        <v>0</v>
      </c>
      <c r="AF57" s="60">
        <f t="shared" si="38"/>
        <v>0</v>
      </c>
      <c r="AG57" s="60">
        <f t="shared" si="38"/>
        <v>0</v>
      </c>
      <c r="AH57" s="60">
        <f t="shared" si="38"/>
        <v>0</v>
      </c>
      <c r="AI57" s="60">
        <f t="shared" si="38"/>
        <v>0</v>
      </c>
      <c r="AJ57" s="60">
        <f t="shared" si="38"/>
        <v>0</v>
      </c>
      <c r="AK57" s="60">
        <f t="shared" si="38"/>
        <v>0</v>
      </c>
      <c r="AL57" s="60">
        <f t="shared" si="38"/>
        <v>0</v>
      </c>
      <c r="AM57" s="60">
        <f t="shared" ref="AM57:AN57" si="39">IF(AND(AM40&gt;=47000, AM40&lt;90000, AM72&gt;0), AM72, 0)</f>
        <v>0</v>
      </c>
      <c r="AN57" s="60">
        <f t="shared" si="39"/>
        <v>0</v>
      </c>
      <c r="AO57" s="60"/>
      <c r="AP57" s="60"/>
    </row>
    <row r="58" spans="1:42" x14ac:dyDescent="0.35">
      <c r="B58" s="27" t="s">
        <v>82</v>
      </c>
      <c r="G58" s="60">
        <f>IF(AND(G40&lt;=47000, (G77+G88)&gt;0), (G77+G88), 0)</f>
        <v>0</v>
      </c>
      <c r="H58" s="60"/>
      <c r="I58" s="60">
        <f t="shared" ref="I58:AL58" si="40">IF(AND(I40&lt;=47000, (I77+I88)&gt;0), (I77+I88), 0)</f>
        <v>0</v>
      </c>
      <c r="J58" s="60">
        <f t="shared" si="40"/>
        <v>0</v>
      </c>
      <c r="K58" s="60">
        <f t="shared" si="40"/>
        <v>0</v>
      </c>
      <c r="L58" s="60">
        <f t="shared" si="40"/>
        <v>0</v>
      </c>
      <c r="M58" s="60">
        <f t="shared" si="40"/>
        <v>0</v>
      </c>
      <c r="N58" s="60">
        <f t="shared" si="40"/>
        <v>0</v>
      </c>
      <c r="O58" s="60">
        <f t="shared" si="40"/>
        <v>0</v>
      </c>
      <c r="P58" s="60">
        <f t="shared" si="40"/>
        <v>0</v>
      </c>
      <c r="Q58" s="60">
        <f t="shared" si="40"/>
        <v>0</v>
      </c>
      <c r="R58" s="60">
        <f t="shared" si="40"/>
        <v>0</v>
      </c>
      <c r="S58" s="60">
        <f t="shared" si="40"/>
        <v>0</v>
      </c>
      <c r="T58" s="60">
        <f t="shared" si="40"/>
        <v>0</v>
      </c>
      <c r="U58" s="60">
        <f t="shared" si="40"/>
        <v>0</v>
      </c>
      <c r="V58" s="60">
        <f t="shared" si="40"/>
        <v>0</v>
      </c>
      <c r="W58" s="60">
        <f t="shared" si="40"/>
        <v>0</v>
      </c>
      <c r="X58" s="60">
        <f t="shared" si="40"/>
        <v>0</v>
      </c>
      <c r="Y58" s="60">
        <f t="shared" si="40"/>
        <v>0</v>
      </c>
      <c r="Z58" s="60">
        <f t="shared" si="40"/>
        <v>0</v>
      </c>
      <c r="AA58" s="60">
        <f t="shared" si="40"/>
        <v>0</v>
      </c>
      <c r="AB58" s="60">
        <f t="shared" si="40"/>
        <v>0</v>
      </c>
      <c r="AC58" s="60">
        <f t="shared" si="40"/>
        <v>0</v>
      </c>
      <c r="AD58" s="60">
        <f t="shared" si="40"/>
        <v>0</v>
      </c>
      <c r="AE58" s="60">
        <f t="shared" si="40"/>
        <v>0</v>
      </c>
      <c r="AF58" s="60">
        <f t="shared" si="40"/>
        <v>0</v>
      </c>
      <c r="AG58" s="60">
        <f t="shared" si="40"/>
        <v>0</v>
      </c>
      <c r="AH58" s="60">
        <f t="shared" si="40"/>
        <v>0</v>
      </c>
      <c r="AI58" s="60">
        <f t="shared" si="40"/>
        <v>0</v>
      </c>
      <c r="AJ58" s="60">
        <f t="shared" si="40"/>
        <v>0</v>
      </c>
      <c r="AK58" s="60">
        <f t="shared" si="40"/>
        <v>0</v>
      </c>
      <c r="AL58" s="60">
        <f t="shared" si="40"/>
        <v>0</v>
      </c>
      <c r="AM58" s="60">
        <f t="shared" ref="AM58:AN58" si="41">IF(AND(AM40&lt;=47000, (AM77+AM88)&gt;0), (AM77+AM88), 0)</f>
        <v>0</v>
      </c>
      <c r="AN58" s="60">
        <f t="shared" si="41"/>
        <v>0</v>
      </c>
      <c r="AO58" s="60"/>
      <c r="AP58" s="60"/>
    </row>
    <row r="59" spans="1:42" x14ac:dyDescent="0.35">
      <c r="B59" s="27" t="s">
        <v>83</v>
      </c>
      <c r="G59" s="60">
        <f>IF(AND(G40&lt;=47000, (G80+G89)&gt;0), (G80+G89), 0)</f>
        <v>0</v>
      </c>
      <c r="H59" s="60"/>
      <c r="I59" s="60">
        <f t="shared" ref="I59:AL59" si="42">IF(AND(I40&lt;=47000, (I80+I89)&gt;0), (I80+I89), 0)</f>
        <v>0</v>
      </c>
      <c r="J59" s="60">
        <f t="shared" si="42"/>
        <v>0</v>
      </c>
      <c r="K59" s="60">
        <f t="shared" si="42"/>
        <v>0</v>
      </c>
      <c r="L59" s="60">
        <f t="shared" si="42"/>
        <v>0</v>
      </c>
      <c r="M59" s="60">
        <f t="shared" si="42"/>
        <v>0</v>
      </c>
      <c r="N59" s="60">
        <f t="shared" si="42"/>
        <v>0</v>
      </c>
      <c r="O59" s="60">
        <f t="shared" si="42"/>
        <v>0</v>
      </c>
      <c r="P59" s="60">
        <f t="shared" si="42"/>
        <v>0</v>
      </c>
      <c r="Q59" s="60">
        <f t="shared" si="42"/>
        <v>0</v>
      </c>
      <c r="R59" s="60">
        <f t="shared" si="42"/>
        <v>0</v>
      </c>
      <c r="S59" s="60">
        <f t="shared" si="42"/>
        <v>0</v>
      </c>
      <c r="T59" s="60">
        <f t="shared" si="42"/>
        <v>0</v>
      </c>
      <c r="U59" s="60">
        <f t="shared" si="42"/>
        <v>0</v>
      </c>
      <c r="V59" s="60">
        <f t="shared" si="42"/>
        <v>0</v>
      </c>
      <c r="W59" s="60">
        <f t="shared" si="42"/>
        <v>0</v>
      </c>
      <c r="X59" s="60">
        <f t="shared" si="42"/>
        <v>0</v>
      </c>
      <c r="Y59" s="60">
        <f t="shared" si="42"/>
        <v>0</v>
      </c>
      <c r="Z59" s="60">
        <f t="shared" si="42"/>
        <v>0</v>
      </c>
      <c r="AA59" s="60">
        <f t="shared" si="42"/>
        <v>0</v>
      </c>
      <c r="AB59" s="60">
        <f t="shared" si="42"/>
        <v>0</v>
      </c>
      <c r="AC59" s="60">
        <f t="shared" si="42"/>
        <v>0</v>
      </c>
      <c r="AD59" s="60">
        <f t="shared" si="42"/>
        <v>0</v>
      </c>
      <c r="AE59" s="60">
        <f t="shared" si="42"/>
        <v>0</v>
      </c>
      <c r="AF59" s="60">
        <f t="shared" si="42"/>
        <v>0</v>
      </c>
      <c r="AG59" s="60">
        <f t="shared" si="42"/>
        <v>0</v>
      </c>
      <c r="AH59" s="60">
        <f t="shared" si="42"/>
        <v>0</v>
      </c>
      <c r="AI59" s="60">
        <f t="shared" si="42"/>
        <v>0</v>
      </c>
      <c r="AJ59" s="60">
        <f t="shared" si="42"/>
        <v>0</v>
      </c>
      <c r="AK59" s="60">
        <f t="shared" si="42"/>
        <v>0</v>
      </c>
      <c r="AL59" s="60">
        <f t="shared" si="42"/>
        <v>0</v>
      </c>
      <c r="AM59" s="60">
        <f t="shared" ref="AM59:AN59" si="43">IF(AND(AM40&lt;=47000, (AM80+AM89)&gt;0), (AM80+AM89), 0)</f>
        <v>0</v>
      </c>
      <c r="AN59" s="60">
        <f t="shared" si="43"/>
        <v>0</v>
      </c>
      <c r="AO59" s="60"/>
      <c r="AP59" s="60"/>
    </row>
    <row r="60" spans="1:42" x14ac:dyDescent="0.35">
      <c r="B60" s="27" t="s">
        <v>112</v>
      </c>
      <c r="G60" s="62">
        <f>IF(G91&gt;=5600, 5600, G91)</f>
        <v>0</v>
      </c>
      <c r="H60" s="62"/>
      <c r="I60" s="62">
        <f>IF(I91&gt;=5600, 5600, I91)</f>
        <v>0</v>
      </c>
      <c r="J60" s="62">
        <f t="shared" ref="J60:AL61" si="44">IF(J91&gt;=5600, 5600, J91)</f>
        <v>0</v>
      </c>
      <c r="K60" s="62">
        <f t="shared" si="44"/>
        <v>0</v>
      </c>
      <c r="L60" s="62">
        <f t="shared" si="44"/>
        <v>0</v>
      </c>
      <c r="M60" s="62">
        <f t="shared" si="44"/>
        <v>0</v>
      </c>
      <c r="N60" s="62">
        <f t="shared" si="44"/>
        <v>0</v>
      </c>
      <c r="O60" s="62">
        <f t="shared" si="44"/>
        <v>0</v>
      </c>
      <c r="P60" s="62">
        <f t="shared" si="44"/>
        <v>0</v>
      </c>
      <c r="Q60" s="62">
        <f t="shared" si="44"/>
        <v>0</v>
      </c>
      <c r="R60" s="62">
        <f t="shared" si="44"/>
        <v>0</v>
      </c>
      <c r="S60" s="62">
        <f t="shared" si="44"/>
        <v>0</v>
      </c>
      <c r="T60" s="62">
        <f t="shared" si="44"/>
        <v>0</v>
      </c>
      <c r="U60" s="62">
        <f t="shared" si="44"/>
        <v>0</v>
      </c>
      <c r="V60" s="62">
        <f t="shared" si="44"/>
        <v>0</v>
      </c>
      <c r="W60" s="62">
        <f t="shared" si="44"/>
        <v>0</v>
      </c>
      <c r="X60" s="62">
        <f t="shared" si="44"/>
        <v>0</v>
      </c>
      <c r="Y60" s="62">
        <f t="shared" si="44"/>
        <v>0</v>
      </c>
      <c r="Z60" s="62">
        <f t="shared" si="44"/>
        <v>0</v>
      </c>
      <c r="AA60" s="62">
        <f t="shared" si="44"/>
        <v>0</v>
      </c>
      <c r="AB60" s="62">
        <f t="shared" si="44"/>
        <v>0</v>
      </c>
      <c r="AC60" s="62">
        <f t="shared" si="44"/>
        <v>0</v>
      </c>
      <c r="AD60" s="62">
        <f t="shared" si="44"/>
        <v>0</v>
      </c>
      <c r="AE60" s="62">
        <f t="shared" si="44"/>
        <v>0</v>
      </c>
      <c r="AF60" s="62">
        <f t="shared" si="44"/>
        <v>0</v>
      </c>
      <c r="AG60" s="62">
        <f t="shared" si="44"/>
        <v>0</v>
      </c>
      <c r="AH60" s="62">
        <f t="shared" si="44"/>
        <v>0</v>
      </c>
      <c r="AI60" s="62">
        <f t="shared" si="44"/>
        <v>0</v>
      </c>
      <c r="AJ60" s="62">
        <f t="shared" si="44"/>
        <v>0</v>
      </c>
      <c r="AK60" s="62">
        <f t="shared" si="44"/>
        <v>0</v>
      </c>
      <c r="AL60" s="62">
        <f t="shared" si="44"/>
        <v>0</v>
      </c>
      <c r="AM60" s="62">
        <f t="shared" ref="AM60:AN60" si="45">IF(AM91&gt;=5600, 5600, AM91)</f>
        <v>0</v>
      </c>
      <c r="AN60" s="62">
        <f t="shared" si="45"/>
        <v>0</v>
      </c>
      <c r="AO60" s="62"/>
      <c r="AP60" s="62"/>
    </row>
    <row r="61" spans="1:42" x14ac:dyDescent="0.35">
      <c r="B61" s="27" t="s">
        <v>113</v>
      </c>
      <c r="G61" s="62">
        <f>IF(G92&gt;=5600, 5600, G92)</f>
        <v>0</v>
      </c>
      <c r="H61" s="62"/>
      <c r="I61" s="62">
        <f>IF(I92&gt;=5600, 5600, I92)</f>
        <v>0</v>
      </c>
      <c r="J61" s="62">
        <f>IF(J92&gt;=5600, 5600, J92)</f>
        <v>0</v>
      </c>
      <c r="K61" s="62">
        <f t="shared" si="44"/>
        <v>0</v>
      </c>
      <c r="L61" s="62">
        <f t="shared" si="44"/>
        <v>0</v>
      </c>
      <c r="M61" s="62">
        <f t="shared" si="44"/>
        <v>0</v>
      </c>
      <c r="N61" s="62">
        <f t="shared" si="44"/>
        <v>0</v>
      </c>
      <c r="O61" s="62">
        <f t="shared" si="44"/>
        <v>0</v>
      </c>
      <c r="P61" s="62">
        <f t="shared" si="44"/>
        <v>0</v>
      </c>
      <c r="Q61" s="62">
        <f t="shared" si="44"/>
        <v>0</v>
      </c>
      <c r="R61" s="62">
        <f t="shared" si="44"/>
        <v>0</v>
      </c>
      <c r="S61" s="62">
        <f t="shared" si="44"/>
        <v>0</v>
      </c>
      <c r="T61" s="62">
        <f t="shared" si="44"/>
        <v>0</v>
      </c>
      <c r="U61" s="62">
        <f t="shared" si="44"/>
        <v>0</v>
      </c>
      <c r="V61" s="62">
        <f t="shared" si="44"/>
        <v>0</v>
      </c>
      <c r="W61" s="62">
        <f t="shared" si="44"/>
        <v>0</v>
      </c>
      <c r="X61" s="62">
        <f t="shared" si="44"/>
        <v>0</v>
      </c>
      <c r="Y61" s="62">
        <f t="shared" si="44"/>
        <v>0</v>
      </c>
      <c r="Z61" s="62">
        <f t="shared" si="44"/>
        <v>0</v>
      </c>
      <c r="AA61" s="62">
        <f t="shared" si="44"/>
        <v>0</v>
      </c>
      <c r="AB61" s="62">
        <f t="shared" si="44"/>
        <v>0</v>
      </c>
      <c r="AC61" s="62">
        <f t="shared" si="44"/>
        <v>0</v>
      </c>
      <c r="AD61" s="62">
        <f t="shared" si="44"/>
        <v>0</v>
      </c>
      <c r="AE61" s="62">
        <f t="shared" si="44"/>
        <v>0</v>
      </c>
      <c r="AF61" s="62">
        <f t="shared" si="44"/>
        <v>0</v>
      </c>
      <c r="AG61" s="62">
        <f t="shared" si="44"/>
        <v>0</v>
      </c>
      <c r="AH61" s="62">
        <f t="shared" si="44"/>
        <v>0</v>
      </c>
      <c r="AI61" s="62">
        <f t="shared" si="44"/>
        <v>0</v>
      </c>
      <c r="AJ61" s="62">
        <f t="shared" si="44"/>
        <v>0</v>
      </c>
      <c r="AK61" s="62">
        <f t="shared" si="44"/>
        <v>0</v>
      </c>
      <c r="AL61" s="62">
        <f t="shared" si="44"/>
        <v>0</v>
      </c>
      <c r="AM61" s="62">
        <f t="shared" ref="AM61:AN61" si="46">IF(AM92&gt;=5600, 5600, AM92)</f>
        <v>0</v>
      </c>
      <c r="AN61" s="62">
        <f t="shared" si="46"/>
        <v>0</v>
      </c>
      <c r="AO61" s="62"/>
      <c r="AP61" s="62"/>
    </row>
    <row r="62" spans="1:42" x14ac:dyDescent="0.35">
      <c r="B62" s="27" t="s">
        <v>117</v>
      </c>
      <c r="G62" s="62">
        <f>IF(G85&gt;=2400, 2400, G85)</f>
        <v>2400</v>
      </c>
      <c r="H62" s="62"/>
      <c r="I62" s="62">
        <f>IF(I85&gt;=2400, 2400, I85)</f>
        <v>2400</v>
      </c>
      <c r="J62" s="62">
        <f t="shared" ref="J62:AL62" si="47">IF(J85&gt;=2400, 2400, J85)</f>
        <v>2400</v>
      </c>
      <c r="K62" s="62">
        <f t="shared" si="47"/>
        <v>2400</v>
      </c>
      <c r="L62" s="62">
        <f t="shared" si="47"/>
        <v>2400</v>
      </c>
      <c r="M62" s="62">
        <f t="shared" si="47"/>
        <v>2400</v>
      </c>
      <c r="N62" s="62">
        <f t="shared" si="47"/>
        <v>2400</v>
      </c>
      <c r="O62" s="62">
        <f t="shared" si="47"/>
        <v>2400</v>
      </c>
      <c r="P62" s="62">
        <f t="shared" si="47"/>
        <v>2400</v>
      </c>
      <c r="Q62" s="62">
        <f t="shared" si="47"/>
        <v>2400</v>
      </c>
      <c r="R62" s="62">
        <f t="shared" si="47"/>
        <v>2400</v>
      </c>
      <c r="S62" s="62">
        <f t="shared" si="47"/>
        <v>2400</v>
      </c>
      <c r="T62" s="62">
        <f t="shared" si="47"/>
        <v>2400</v>
      </c>
      <c r="U62" s="62">
        <f t="shared" si="47"/>
        <v>2400</v>
      </c>
      <c r="V62" s="62">
        <f t="shared" si="47"/>
        <v>2400</v>
      </c>
      <c r="W62" s="62">
        <f t="shared" si="47"/>
        <v>2400</v>
      </c>
      <c r="X62" s="62">
        <f t="shared" si="47"/>
        <v>2400</v>
      </c>
      <c r="Y62" s="62">
        <f t="shared" si="47"/>
        <v>2400</v>
      </c>
      <c r="Z62" s="62">
        <f t="shared" si="47"/>
        <v>2400</v>
      </c>
      <c r="AA62" s="62">
        <f t="shared" si="47"/>
        <v>2400</v>
      </c>
      <c r="AB62" s="62">
        <f t="shared" si="47"/>
        <v>2400</v>
      </c>
      <c r="AC62" s="62">
        <f t="shared" si="47"/>
        <v>2400</v>
      </c>
      <c r="AD62" s="62">
        <f t="shared" si="47"/>
        <v>2400</v>
      </c>
      <c r="AE62" s="62">
        <f t="shared" si="47"/>
        <v>2400</v>
      </c>
      <c r="AF62" s="62">
        <f t="shared" si="47"/>
        <v>2400</v>
      </c>
      <c r="AG62" s="62">
        <f t="shared" si="47"/>
        <v>2400</v>
      </c>
      <c r="AH62" s="62">
        <f t="shared" si="47"/>
        <v>2400</v>
      </c>
      <c r="AI62" s="62">
        <f t="shared" si="47"/>
        <v>2400</v>
      </c>
      <c r="AJ62" s="62">
        <f t="shared" si="47"/>
        <v>2400</v>
      </c>
      <c r="AK62" s="62">
        <f t="shared" si="47"/>
        <v>2400</v>
      </c>
      <c r="AL62" s="62">
        <f t="shared" si="47"/>
        <v>2400</v>
      </c>
      <c r="AM62" s="62">
        <f t="shared" ref="AM62:AN62" si="48">IF(AM85&gt;=2400, 2400, AM85)</f>
        <v>2400</v>
      </c>
      <c r="AN62" s="62">
        <f t="shared" si="48"/>
        <v>2400</v>
      </c>
      <c r="AO62" s="62"/>
      <c r="AP62" s="62"/>
    </row>
    <row r="63" spans="1:42" x14ac:dyDescent="0.35">
      <c r="B63" s="27"/>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row>
    <row r="64" spans="1:42" s="138" customFormat="1" x14ac:dyDescent="0.35">
      <c r="B64" s="150" t="s">
        <v>95</v>
      </c>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row>
    <row r="65" spans="2:42" x14ac:dyDescent="0.35">
      <c r="B65" s="53" t="s">
        <v>94</v>
      </c>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row>
    <row r="66" spans="2:42" x14ac:dyDescent="0.35">
      <c r="B66" s="52" t="s">
        <v>90</v>
      </c>
      <c r="G66" s="62">
        <f>IF((G41-225000)&gt;0,(G41-225000),0)</f>
        <v>324882.16810683429</v>
      </c>
      <c r="H66" s="62"/>
      <c r="I66" s="62">
        <f t="shared" ref="I66:AL66" si="49">IF((I41-225000)&gt;0,(I41-225000),0)</f>
        <v>324882.16810683429</v>
      </c>
      <c r="J66" s="62">
        <f t="shared" si="49"/>
        <v>324882.16810683429</v>
      </c>
      <c r="K66" s="62">
        <f t="shared" si="49"/>
        <v>324882.16810683429</v>
      </c>
      <c r="L66" s="62">
        <f t="shared" si="49"/>
        <v>324882.16810683429</v>
      </c>
      <c r="M66" s="62">
        <f t="shared" si="49"/>
        <v>324882.16810683429</v>
      </c>
      <c r="N66" s="62">
        <f t="shared" si="49"/>
        <v>324882.16810683429</v>
      </c>
      <c r="O66" s="62">
        <f t="shared" si="49"/>
        <v>324882.16810683429</v>
      </c>
      <c r="P66" s="62">
        <f t="shared" si="49"/>
        <v>324882.16810683429</v>
      </c>
      <c r="Q66" s="62">
        <f t="shared" si="49"/>
        <v>324882.16810683429</v>
      </c>
      <c r="R66" s="62">
        <f t="shared" si="49"/>
        <v>324882.16810683429</v>
      </c>
      <c r="S66" s="62">
        <f t="shared" si="49"/>
        <v>324882.16810683429</v>
      </c>
      <c r="T66" s="62">
        <f t="shared" si="49"/>
        <v>324882.16810683429</v>
      </c>
      <c r="U66" s="62">
        <f t="shared" si="49"/>
        <v>324882.16810683429</v>
      </c>
      <c r="V66" s="62">
        <f t="shared" si="49"/>
        <v>324882.16810683429</v>
      </c>
      <c r="W66" s="62">
        <f t="shared" si="49"/>
        <v>324882.16810683429</v>
      </c>
      <c r="X66" s="62">
        <f t="shared" si="49"/>
        <v>324882.16810683429</v>
      </c>
      <c r="Y66" s="62">
        <f t="shared" si="49"/>
        <v>324882.16810683429</v>
      </c>
      <c r="Z66" s="62">
        <f t="shared" si="49"/>
        <v>324882.16810683429</v>
      </c>
      <c r="AA66" s="62">
        <f t="shared" si="49"/>
        <v>324882.16810683429</v>
      </c>
      <c r="AB66" s="62">
        <f t="shared" si="49"/>
        <v>324882.16810683429</v>
      </c>
      <c r="AC66" s="62">
        <f t="shared" si="49"/>
        <v>324882.16810683429</v>
      </c>
      <c r="AD66" s="62">
        <f t="shared" si="49"/>
        <v>324882.16810683429</v>
      </c>
      <c r="AE66" s="62">
        <f t="shared" si="49"/>
        <v>324882.16810683429</v>
      </c>
      <c r="AF66" s="62">
        <f t="shared" si="49"/>
        <v>324882.16810683429</v>
      </c>
      <c r="AG66" s="62">
        <f t="shared" si="49"/>
        <v>324882.16810683429</v>
      </c>
      <c r="AH66" s="62">
        <f t="shared" si="49"/>
        <v>324882.16810683429</v>
      </c>
      <c r="AI66" s="62">
        <f t="shared" si="49"/>
        <v>324882.16810683429</v>
      </c>
      <c r="AJ66" s="62">
        <f t="shared" si="49"/>
        <v>324882.16810683429</v>
      </c>
      <c r="AK66" s="62">
        <f t="shared" si="49"/>
        <v>324882.16810683429</v>
      </c>
      <c r="AL66" s="62">
        <f t="shared" si="49"/>
        <v>324882.16810683429</v>
      </c>
      <c r="AM66" s="62">
        <f t="shared" ref="AM66:AN66" si="50">IF((AM41-225000)&gt;0,(AM41-225000),0)</f>
        <v>324882.16810683429</v>
      </c>
      <c r="AN66" s="62">
        <f t="shared" si="50"/>
        <v>324882.16810683429</v>
      </c>
      <c r="AO66" s="62"/>
      <c r="AP66" s="62"/>
    </row>
    <row r="67" spans="2:42" x14ac:dyDescent="0.35">
      <c r="B67" s="52" t="s">
        <v>85</v>
      </c>
      <c r="G67" s="62">
        <f>G48-(((G22*G40/100))+(G66*G34/100))</f>
        <v>-356.23253701462181</v>
      </c>
      <c r="H67" s="62"/>
      <c r="I67" s="62">
        <f t="shared" ref="I67:AL67" si="51">I48-(((I22*I40/100))+(I66*I34/100))</f>
        <v>-1223.8195979115862</v>
      </c>
      <c r="J67" s="62">
        <f t="shared" si="51"/>
        <v>-1624.7730485881202</v>
      </c>
      <c r="K67" s="62">
        <f t="shared" si="51"/>
        <v>-1632.0174672368812</v>
      </c>
      <c r="L67" s="62">
        <f t="shared" si="51"/>
        <v>-1632.0174672368812</v>
      </c>
      <c r="M67" s="62">
        <f t="shared" si="51"/>
        <v>-1632.0174672368812</v>
      </c>
      <c r="N67" s="62">
        <f t="shared" si="51"/>
        <v>-1632.0174672368812</v>
      </c>
      <c r="O67" s="62">
        <f t="shared" si="51"/>
        <v>-1632.0174672368794</v>
      </c>
      <c r="P67" s="62">
        <f t="shared" si="51"/>
        <v>-1632.0174672368812</v>
      </c>
      <c r="Q67" s="62">
        <f t="shared" si="51"/>
        <v>-1632.0174672368812</v>
      </c>
      <c r="R67" s="62">
        <f t="shared" si="51"/>
        <v>-1632.0174672368812</v>
      </c>
      <c r="S67" s="62">
        <f t="shared" si="51"/>
        <v>-1632.0174672368812</v>
      </c>
      <c r="T67" s="62">
        <f t="shared" si="51"/>
        <v>-1632.0174672368794</v>
      </c>
      <c r="U67" s="62">
        <f t="shared" si="51"/>
        <v>-1632.0174672368812</v>
      </c>
      <c r="V67" s="62">
        <f t="shared" si="51"/>
        <v>-1632.0174672368812</v>
      </c>
      <c r="W67" s="62">
        <f t="shared" si="51"/>
        <v>-1632.0174672368812</v>
      </c>
      <c r="X67" s="62">
        <f t="shared" si="51"/>
        <v>-1632.0174672368812</v>
      </c>
      <c r="Y67" s="62">
        <f t="shared" si="51"/>
        <v>-1632.0174672368812</v>
      </c>
      <c r="Z67" s="62">
        <f t="shared" si="51"/>
        <v>-1632.0174672368794</v>
      </c>
      <c r="AA67" s="62">
        <f t="shared" si="51"/>
        <v>-1632.0174672368794</v>
      </c>
      <c r="AB67" s="62">
        <f t="shared" si="51"/>
        <v>-1632.0174672368794</v>
      </c>
      <c r="AC67" s="62">
        <f t="shared" si="51"/>
        <v>-1632.0174672368812</v>
      </c>
      <c r="AD67" s="62">
        <f t="shared" si="51"/>
        <v>-1632.0174672368812</v>
      </c>
      <c r="AE67" s="62">
        <f t="shared" si="51"/>
        <v>-1632.0174672368794</v>
      </c>
      <c r="AF67" s="62">
        <f t="shared" si="51"/>
        <v>-1632.0174672368794</v>
      </c>
      <c r="AG67" s="62">
        <f t="shared" si="51"/>
        <v>-1632.0174672368794</v>
      </c>
      <c r="AH67" s="62">
        <f t="shared" si="51"/>
        <v>-1632.0174672368794</v>
      </c>
      <c r="AI67" s="62">
        <f t="shared" si="51"/>
        <v>-1632.0174672368794</v>
      </c>
      <c r="AJ67" s="62">
        <f t="shared" si="51"/>
        <v>-1632.0174672368794</v>
      </c>
      <c r="AK67" s="62">
        <f t="shared" si="51"/>
        <v>-1632.0174672368794</v>
      </c>
      <c r="AL67" s="62">
        <f t="shared" si="51"/>
        <v>-1632.0174672368794</v>
      </c>
      <c r="AM67" s="62">
        <f t="shared" ref="AM67:AN67" si="52">AM48-(((AM22*AM40/100))+(AM66*AM34/100))</f>
        <v>-1632.0174672368794</v>
      </c>
      <c r="AN67" s="62">
        <f t="shared" si="52"/>
        <v>-1632.0174672368794</v>
      </c>
      <c r="AO67" s="62"/>
      <c r="AP67" s="62"/>
    </row>
    <row r="68" spans="2:42" x14ac:dyDescent="0.35">
      <c r="B68" s="52" t="s">
        <v>86</v>
      </c>
      <c r="G68" s="62">
        <f>G49-((G23*G40/100)+(G66*G35/100))</f>
        <v>-1055.7406371948837</v>
      </c>
      <c r="H68" s="62"/>
      <c r="I68" s="62">
        <f t="shared" ref="I68:AL68" si="53">I49-((I23*I40/100)+(I66*I35/100))</f>
        <v>-1699.2290526264824</v>
      </c>
      <c r="J68" s="62">
        <f t="shared" si="53"/>
        <v>-2139.0575984031802</v>
      </c>
      <c r="K68" s="62">
        <f t="shared" si="53"/>
        <v>-2107.8152695867193</v>
      </c>
      <c r="L68" s="62">
        <f t="shared" si="53"/>
        <v>-2071.3433801395022</v>
      </c>
      <c r="M68" s="62">
        <f t="shared" si="53"/>
        <v>-2036.7940896631535</v>
      </c>
      <c r="N68" s="62">
        <f t="shared" si="53"/>
        <v>-1985.0153556547502</v>
      </c>
      <c r="O68" s="62">
        <f t="shared" si="53"/>
        <v>-1983.6389597385878</v>
      </c>
      <c r="P68" s="62">
        <f t="shared" si="53"/>
        <v>-1981.9519824513991</v>
      </c>
      <c r="Q68" s="62">
        <f t="shared" si="53"/>
        <v>-1979.9770032749111</v>
      </c>
      <c r="R68" s="62">
        <f t="shared" si="53"/>
        <v>-1977.7354297416878</v>
      </c>
      <c r="S68" s="62">
        <f t="shared" si="53"/>
        <v>-1975.2475508765565</v>
      </c>
      <c r="T68" s="62">
        <f t="shared" si="53"/>
        <v>-1972.5325883639362</v>
      </c>
      <c r="U68" s="62">
        <f t="shared" si="53"/>
        <v>-1969.6087455335219</v>
      </c>
      <c r="V68" s="62">
        <f t="shared" si="53"/>
        <v>-1966.4932542536117</v>
      </c>
      <c r="W68" s="62">
        <f t="shared" si="53"/>
        <v>-1963.2024198173312</v>
      </c>
      <c r="X68" s="62">
        <f t="shared" si="53"/>
        <v>-1959.7516639040623</v>
      </c>
      <c r="Y68" s="62">
        <f t="shared" si="53"/>
        <v>-1956.1555656948258</v>
      </c>
      <c r="Z68" s="62">
        <f t="shared" si="53"/>
        <v>-1952.4279012173865</v>
      </c>
      <c r="AA68" s="62">
        <f t="shared" si="53"/>
        <v>-1948.5816809937496</v>
      </c>
      <c r="AB68" s="62">
        <f t="shared" si="53"/>
        <v>-1944.6291860599213</v>
      </c>
      <c r="AC68" s="62">
        <f t="shared" si="53"/>
        <v>-1940.5820024249388</v>
      </c>
      <c r="AD68" s="62">
        <f t="shared" si="53"/>
        <v>-1936.451054033525</v>
      </c>
      <c r="AE68" s="62">
        <f t="shared" si="53"/>
        <v>-1932.2466342942171</v>
      </c>
      <c r="AF68" s="62">
        <f t="shared" si="53"/>
        <v>-1927.9784362322334</v>
      </c>
      <c r="AG68" s="62">
        <f t="shared" si="53"/>
        <v>-1923.655581324063</v>
      </c>
      <c r="AH68" s="62">
        <f t="shared" si="53"/>
        <v>-1919.2866470684876</v>
      </c>
      <c r="AI68" s="62">
        <f t="shared" si="53"/>
        <v>-1914.879693346471</v>
      </c>
      <c r="AJ68" s="62">
        <f t="shared" si="53"/>
        <v>-1910.4422876203134</v>
      </c>
      <c r="AK68" s="62">
        <f t="shared" si="53"/>
        <v>-1905.9815290204606</v>
      </c>
      <c r="AL68" s="62">
        <f t="shared" si="53"/>
        <v>-1901.504071366342</v>
      </c>
      <c r="AM68" s="62">
        <f t="shared" ref="AM68:AN68" si="54">AM49-((AM23*AM40/100)+(AM66*AM35/100))</f>
        <v>-1897.016145165795</v>
      </c>
      <c r="AN68" s="62">
        <f t="shared" si="54"/>
        <v>-1892.5235786358789</v>
      </c>
      <c r="AO68" s="62"/>
      <c r="AP68" s="62"/>
    </row>
    <row r="69" spans="2:42" x14ac:dyDescent="0.35">
      <c r="B69" s="53" t="s">
        <v>114</v>
      </c>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row>
    <row r="70" spans="2:42" x14ac:dyDescent="0.35">
      <c r="B70" s="52" t="s">
        <v>91</v>
      </c>
      <c r="G70" s="62">
        <f>IF((G41-400000)&gt;0,(G41-400000),0)</f>
        <v>149882.16810683429</v>
      </c>
      <c r="H70" s="62"/>
      <c r="I70" s="62">
        <f t="shared" ref="I70:AL70" si="55">IF((I41-400000)&gt;0,(I41-400000),0)</f>
        <v>149882.16810683429</v>
      </c>
      <c r="J70" s="62">
        <f t="shared" si="55"/>
        <v>149882.16810683429</v>
      </c>
      <c r="K70" s="62">
        <f t="shared" si="55"/>
        <v>149882.16810683429</v>
      </c>
      <c r="L70" s="62">
        <f t="shared" si="55"/>
        <v>149882.16810683429</v>
      </c>
      <c r="M70" s="62">
        <f t="shared" si="55"/>
        <v>149882.16810683429</v>
      </c>
      <c r="N70" s="62">
        <f t="shared" si="55"/>
        <v>149882.16810683429</v>
      </c>
      <c r="O70" s="62">
        <f t="shared" si="55"/>
        <v>149882.16810683429</v>
      </c>
      <c r="P70" s="62">
        <f t="shared" si="55"/>
        <v>149882.16810683429</v>
      </c>
      <c r="Q70" s="62">
        <f t="shared" si="55"/>
        <v>149882.16810683429</v>
      </c>
      <c r="R70" s="62">
        <f t="shared" si="55"/>
        <v>149882.16810683429</v>
      </c>
      <c r="S70" s="62">
        <f t="shared" si="55"/>
        <v>149882.16810683429</v>
      </c>
      <c r="T70" s="62">
        <f t="shared" si="55"/>
        <v>149882.16810683429</v>
      </c>
      <c r="U70" s="62">
        <f t="shared" si="55"/>
        <v>149882.16810683429</v>
      </c>
      <c r="V70" s="62">
        <f t="shared" si="55"/>
        <v>149882.16810683429</v>
      </c>
      <c r="W70" s="62">
        <f t="shared" si="55"/>
        <v>149882.16810683429</v>
      </c>
      <c r="X70" s="62">
        <f t="shared" si="55"/>
        <v>149882.16810683429</v>
      </c>
      <c r="Y70" s="62">
        <f t="shared" si="55"/>
        <v>149882.16810683429</v>
      </c>
      <c r="Z70" s="62">
        <f t="shared" si="55"/>
        <v>149882.16810683429</v>
      </c>
      <c r="AA70" s="62">
        <f t="shared" si="55"/>
        <v>149882.16810683429</v>
      </c>
      <c r="AB70" s="62">
        <f t="shared" si="55"/>
        <v>149882.16810683429</v>
      </c>
      <c r="AC70" s="62">
        <f t="shared" si="55"/>
        <v>149882.16810683429</v>
      </c>
      <c r="AD70" s="62">
        <f t="shared" si="55"/>
        <v>149882.16810683429</v>
      </c>
      <c r="AE70" s="62">
        <f t="shared" si="55"/>
        <v>149882.16810683429</v>
      </c>
      <c r="AF70" s="62">
        <f t="shared" si="55"/>
        <v>149882.16810683429</v>
      </c>
      <c r="AG70" s="62">
        <f t="shared" si="55"/>
        <v>149882.16810683429</v>
      </c>
      <c r="AH70" s="62">
        <f t="shared" si="55"/>
        <v>149882.16810683429</v>
      </c>
      <c r="AI70" s="62">
        <f t="shared" si="55"/>
        <v>149882.16810683429</v>
      </c>
      <c r="AJ70" s="62">
        <f t="shared" si="55"/>
        <v>149882.16810683429</v>
      </c>
      <c r="AK70" s="62">
        <f t="shared" si="55"/>
        <v>149882.16810683429</v>
      </c>
      <c r="AL70" s="62">
        <f t="shared" si="55"/>
        <v>149882.16810683429</v>
      </c>
      <c r="AM70" s="62">
        <f t="shared" ref="AM70:AN70" si="56">IF((AM41-400000)&gt;0,(AM41-400000),0)</f>
        <v>149882.16810683429</v>
      </c>
      <c r="AN70" s="62">
        <f t="shared" si="56"/>
        <v>149882.16810683429</v>
      </c>
      <c r="AO70" s="62"/>
      <c r="AP70" s="62"/>
    </row>
    <row r="71" spans="2:42" x14ac:dyDescent="0.35">
      <c r="B71" s="52" t="s">
        <v>87</v>
      </c>
      <c r="G71" s="62">
        <f>G48-(((G22*G40/100))+(G70*G34/100))</f>
        <v>1248.5593512478263</v>
      </c>
      <c r="H71" s="62"/>
      <c r="I71" s="62">
        <f t="shared" ref="I71:AL71" si="57">I48-(((I22*I40/100))+(I70*I34/100))</f>
        <v>1688.3055839176341</v>
      </c>
      <c r="J71" s="62">
        <f t="shared" si="57"/>
        <v>1374.3081706484536</v>
      </c>
      <c r="K71" s="62">
        <f t="shared" si="57"/>
        <v>1380.4358349085405</v>
      </c>
      <c r="L71" s="62">
        <f t="shared" si="57"/>
        <v>1380.4358349085405</v>
      </c>
      <c r="M71" s="62">
        <f t="shared" si="57"/>
        <v>1380.4358349085396</v>
      </c>
      <c r="N71" s="62">
        <f t="shared" si="57"/>
        <v>1380.4358349085405</v>
      </c>
      <c r="O71" s="62">
        <f t="shared" si="57"/>
        <v>1380.4358349085414</v>
      </c>
      <c r="P71" s="62">
        <f t="shared" si="57"/>
        <v>1380.4358349085396</v>
      </c>
      <c r="Q71" s="62">
        <f t="shared" si="57"/>
        <v>1380.4358349085405</v>
      </c>
      <c r="R71" s="62">
        <f t="shared" si="57"/>
        <v>1380.4358349085405</v>
      </c>
      <c r="S71" s="62">
        <f t="shared" si="57"/>
        <v>1380.4358349085405</v>
      </c>
      <c r="T71" s="62">
        <f t="shared" si="57"/>
        <v>1380.4358349085396</v>
      </c>
      <c r="U71" s="62">
        <f t="shared" si="57"/>
        <v>1380.4358349085378</v>
      </c>
      <c r="V71" s="62">
        <f t="shared" si="57"/>
        <v>1380.4358349085378</v>
      </c>
      <c r="W71" s="62">
        <f t="shared" si="57"/>
        <v>1380.4358349085387</v>
      </c>
      <c r="X71" s="62">
        <f t="shared" si="57"/>
        <v>1380.4358349085378</v>
      </c>
      <c r="Y71" s="62">
        <f t="shared" si="57"/>
        <v>1380.4358349085378</v>
      </c>
      <c r="Z71" s="62">
        <f t="shared" si="57"/>
        <v>1380.4358349085396</v>
      </c>
      <c r="AA71" s="62">
        <f t="shared" si="57"/>
        <v>1380.4358349085378</v>
      </c>
      <c r="AB71" s="62">
        <f t="shared" si="57"/>
        <v>1380.4358349085378</v>
      </c>
      <c r="AC71" s="62">
        <f t="shared" si="57"/>
        <v>1380.4358349085369</v>
      </c>
      <c r="AD71" s="62">
        <f t="shared" si="57"/>
        <v>1380.435834908536</v>
      </c>
      <c r="AE71" s="62">
        <f t="shared" si="57"/>
        <v>1380.4358349085378</v>
      </c>
      <c r="AF71" s="62">
        <f t="shared" si="57"/>
        <v>1380.4358349085378</v>
      </c>
      <c r="AG71" s="62">
        <f t="shared" si="57"/>
        <v>1380.4358349085378</v>
      </c>
      <c r="AH71" s="62">
        <f t="shared" si="57"/>
        <v>1380.4358349085396</v>
      </c>
      <c r="AI71" s="62">
        <f t="shared" si="57"/>
        <v>1380.4358349085378</v>
      </c>
      <c r="AJ71" s="62">
        <f t="shared" si="57"/>
        <v>1380.4358349085396</v>
      </c>
      <c r="AK71" s="62">
        <f t="shared" si="57"/>
        <v>1380.4358349085396</v>
      </c>
      <c r="AL71" s="62">
        <f t="shared" si="57"/>
        <v>1380.4358349085378</v>
      </c>
      <c r="AM71" s="62">
        <f t="shared" ref="AM71:AN71" si="58">AM48-(((AM22*AM40/100))+(AM70*AM34/100))</f>
        <v>1380.4358349085396</v>
      </c>
      <c r="AN71" s="62">
        <f t="shared" si="58"/>
        <v>1380.4358349085396</v>
      </c>
      <c r="AO71" s="62"/>
      <c r="AP71" s="62"/>
    </row>
    <row r="72" spans="2:42" x14ac:dyDescent="0.35">
      <c r="B72" s="52" t="s">
        <v>88</v>
      </c>
      <c r="G72" s="62">
        <f>G49-(((G23*G40/100))+(G70*G35/100))</f>
        <v>549.05125106756441</v>
      </c>
      <c r="H72" s="62"/>
      <c r="I72" s="62">
        <f t="shared" ref="I72:AL72" si="59">I49-(((I23*I40/100))+(I70*I35/100))</f>
        <v>1710.9799312010273</v>
      </c>
      <c r="J72" s="62">
        <f t="shared" si="59"/>
        <v>1358.2458726465193</v>
      </c>
      <c r="K72" s="62">
        <f t="shared" si="59"/>
        <v>1402.4197863964819</v>
      </c>
      <c r="L72" s="62">
        <f t="shared" si="59"/>
        <v>1437.9112276429969</v>
      </c>
      <c r="M72" s="62">
        <f t="shared" si="59"/>
        <v>1470.9771417977463</v>
      </c>
      <c r="N72" s="62">
        <f t="shared" si="59"/>
        <v>1535.6320441005264</v>
      </c>
      <c r="O72" s="62">
        <f t="shared" si="59"/>
        <v>1511.6092306772443</v>
      </c>
      <c r="P72" s="62">
        <f t="shared" si="59"/>
        <v>1489.0336738772203</v>
      </c>
      <c r="Q72" s="62">
        <f t="shared" si="59"/>
        <v>1467.8349629129007</v>
      </c>
      <c r="R72" s="62">
        <f t="shared" si="59"/>
        <v>1447.9457940677621</v>
      </c>
      <c r="S72" s="62">
        <f t="shared" si="59"/>
        <v>1429.301841074599</v>
      </c>
      <c r="T72" s="62">
        <f t="shared" si="59"/>
        <v>1411.8416307072894</v>
      </c>
      <c r="U72" s="62">
        <f t="shared" si="59"/>
        <v>1395.5064233818848</v>
      </c>
      <c r="V72" s="62">
        <f t="shared" si="59"/>
        <v>1380.2400985702989</v>
      </c>
      <c r="W72" s="62">
        <f t="shared" si="59"/>
        <v>1365.9890448378246</v>
      </c>
      <c r="X72" s="62">
        <f t="shared" si="59"/>
        <v>1352.7020543226317</v>
      </c>
      <c r="Y72" s="62">
        <f t="shared" si="59"/>
        <v>1340.3302214826817</v>
      </c>
      <c r="Z72" s="62">
        <f t="shared" si="59"/>
        <v>1328.8268459420597</v>
      </c>
      <c r="AA72" s="62">
        <f t="shared" si="59"/>
        <v>1318.1473392752632</v>
      </c>
      <c r="AB72" s="62">
        <f t="shared" si="59"/>
        <v>1308.2491355742259</v>
      </c>
      <c r="AC72" s="62">
        <f t="shared" si="59"/>
        <v>1299.0916056488059</v>
      </c>
      <c r="AD72" s="62">
        <f t="shared" si="59"/>
        <v>1290.6359747173319</v>
      </c>
      <c r="AE72" s="62">
        <f t="shared" si="59"/>
        <v>1282.8452434491628</v>
      </c>
      <c r="AF72" s="62">
        <f t="shared" si="59"/>
        <v>1275.6841122268415</v>
      </c>
      <c r="AG72" s="62">
        <f t="shared" si="59"/>
        <v>1269.1189085002316</v>
      </c>
      <c r="AH72" s="62">
        <f t="shared" si="59"/>
        <v>1263.1175171102295</v>
      </c>
      <c r="AI72" s="62">
        <f t="shared" si="59"/>
        <v>1257.6493134642151</v>
      </c>
      <c r="AJ72" s="62">
        <f t="shared" si="59"/>
        <v>1252.6850994501237</v>
      </c>
      <c r="AK72" s="62">
        <f t="shared" si="59"/>
        <v>1248.1970419802601</v>
      </c>
      <c r="AL72" s="62">
        <f t="shared" si="59"/>
        <v>1244.1586140603285</v>
      </c>
      <c r="AM72" s="62">
        <f t="shared" ref="AM72:AN72" si="60">AM49-(((AM23*AM40/100))+(AM70*AM35/100))</f>
        <v>1240.5445382831658</v>
      </c>
      <c r="AN72" s="62">
        <f t="shared" si="60"/>
        <v>1237.3307326505528</v>
      </c>
      <c r="AO72" s="62"/>
      <c r="AP72" s="62"/>
    </row>
    <row r="73" spans="2:42" x14ac:dyDescent="0.35">
      <c r="B73" s="53" t="s">
        <v>106</v>
      </c>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row>
    <row r="74" spans="2:42" x14ac:dyDescent="0.35">
      <c r="B74" s="53" t="s">
        <v>107</v>
      </c>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row>
    <row r="75" spans="2:42" x14ac:dyDescent="0.35">
      <c r="B75" s="52" t="s">
        <v>92</v>
      </c>
      <c r="G75" s="62">
        <f>(((G22*G40/100))+(G70*G34/100))</f>
        <v>3793.9917509122624</v>
      </c>
      <c r="H75" s="62"/>
      <c r="I75" s="62">
        <f t="shared" ref="I75:AL75" si="61">(((I22*I40/100))+(I70*I34/100))</f>
        <v>7462.1270376981392</v>
      </c>
      <c r="J75" s="62">
        <f t="shared" si="61"/>
        <v>8049.3563045646624</v>
      </c>
      <c r="K75" s="62">
        <f t="shared" si="61"/>
        <v>8085.2461828304085</v>
      </c>
      <c r="L75" s="62">
        <f t="shared" si="61"/>
        <v>8085.2461828304085</v>
      </c>
      <c r="M75" s="62">
        <f t="shared" si="61"/>
        <v>8085.2461828304095</v>
      </c>
      <c r="N75" s="62">
        <f t="shared" si="61"/>
        <v>8085.2461828304085</v>
      </c>
      <c r="O75" s="62">
        <f t="shared" si="61"/>
        <v>8085.2461828304095</v>
      </c>
      <c r="P75" s="62">
        <f t="shared" si="61"/>
        <v>8085.2461828304095</v>
      </c>
      <c r="Q75" s="62">
        <f t="shared" si="61"/>
        <v>8085.2461828304085</v>
      </c>
      <c r="R75" s="62">
        <f t="shared" si="61"/>
        <v>8085.2461828304085</v>
      </c>
      <c r="S75" s="62">
        <f t="shared" si="61"/>
        <v>8085.2461828304085</v>
      </c>
      <c r="T75" s="62">
        <f t="shared" si="61"/>
        <v>8085.2461828304076</v>
      </c>
      <c r="U75" s="62">
        <f t="shared" si="61"/>
        <v>8085.2461828304076</v>
      </c>
      <c r="V75" s="62">
        <f t="shared" si="61"/>
        <v>8085.2461828304076</v>
      </c>
      <c r="W75" s="62">
        <f t="shared" si="61"/>
        <v>8085.2461828304067</v>
      </c>
      <c r="X75" s="62">
        <f t="shared" si="61"/>
        <v>8085.2461828304076</v>
      </c>
      <c r="Y75" s="62">
        <f t="shared" si="61"/>
        <v>8085.2461828304076</v>
      </c>
      <c r="Z75" s="62">
        <f t="shared" si="61"/>
        <v>8085.2461828304058</v>
      </c>
      <c r="AA75" s="62">
        <f t="shared" si="61"/>
        <v>8085.2461828304058</v>
      </c>
      <c r="AB75" s="62">
        <f t="shared" si="61"/>
        <v>8085.2461828304058</v>
      </c>
      <c r="AC75" s="62">
        <f t="shared" si="61"/>
        <v>8085.2461828304067</v>
      </c>
      <c r="AD75" s="62">
        <f t="shared" si="61"/>
        <v>8085.2461828304058</v>
      </c>
      <c r="AE75" s="62">
        <f t="shared" si="61"/>
        <v>8085.2461828304058</v>
      </c>
      <c r="AF75" s="62">
        <f t="shared" si="61"/>
        <v>8085.2461828304058</v>
      </c>
      <c r="AG75" s="62">
        <f t="shared" si="61"/>
        <v>8085.2461828304058</v>
      </c>
      <c r="AH75" s="62">
        <f t="shared" si="61"/>
        <v>8085.2461828304058</v>
      </c>
      <c r="AI75" s="62">
        <f t="shared" si="61"/>
        <v>8085.2461828304058</v>
      </c>
      <c r="AJ75" s="62">
        <f t="shared" si="61"/>
        <v>8085.2461828304058</v>
      </c>
      <c r="AK75" s="62">
        <f t="shared" si="61"/>
        <v>8085.2461828304058</v>
      </c>
      <c r="AL75" s="62">
        <f t="shared" si="61"/>
        <v>8085.2461828304058</v>
      </c>
      <c r="AM75" s="62">
        <f t="shared" ref="AM75:AN75" si="62">(((AM22*AM40/100))+(AM70*AM34/100))</f>
        <v>8085.2461828304058</v>
      </c>
      <c r="AN75" s="62">
        <f t="shared" si="62"/>
        <v>8085.246182830404</v>
      </c>
      <c r="AO75" s="62"/>
      <c r="AP75" s="62"/>
    </row>
    <row r="76" spans="2:42" x14ac:dyDescent="0.35">
      <c r="B76" s="52" t="s">
        <v>100</v>
      </c>
      <c r="G76" s="62">
        <f>((G34*(G41-15000))/100)</f>
        <v>4904.9975117375925</v>
      </c>
      <c r="H76" s="62"/>
      <c r="I76" s="62">
        <f t="shared" ref="I76:AL76" si="63">((I34*(I41-15000))/100)</f>
        <v>8900.8218917446975</v>
      </c>
      <c r="J76" s="62">
        <f t="shared" si="63"/>
        <v>9166.600370707125</v>
      </c>
      <c r="K76" s="62">
        <f t="shared" si="63"/>
        <v>9207.4717346979123</v>
      </c>
      <c r="L76" s="62">
        <f t="shared" si="63"/>
        <v>9207.4717346979123</v>
      </c>
      <c r="M76" s="62">
        <f t="shared" si="63"/>
        <v>9207.4717346979141</v>
      </c>
      <c r="N76" s="62">
        <f t="shared" si="63"/>
        <v>9207.4717346979123</v>
      </c>
      <c r="O76" s="62">
        <f t="shared" si="63"/>
        <v>9207.471734697916</v>
      </c>
      <c r="P76" s="62">
        <f t="shared" si="63"/>
        <v>9207.4717346979141</v>
      </c>
      <c r="Q76" s="62">
        <f t="shared" si="63"/>
        <v>9207.4717346979123</v>
      </c>
      <c r="R76" s="62">
        <f t="shared" si="63"/>
        <v>9207.4717346979123</v>
      </c>
      <c r="S76" s="62">
        <f t="shared" si="63"/>
        <v>9207.4717346979123</v>
      </c>
      <c r="T76" s="62">
        <f t="shared" si="63"/>
        <v>9207.4717346979123</v>
      </c>
      <c r="U76" s="62">
        <f t="shared" si="63"/>
        <v>9207.4717346979105</v>
      </c>
      <c r="V76" s="62">
        <f t="shared" si="63"/>
        <v>9207.4717346979105</v>
      </c>
      <c r="W76" s="62">
        <f t="shared" si="63"/>
        <v>9207.4717346979087</v>
      </c>
      <c r="X76" s="62">
        <f t="shared" si="63"/>
        <v>9207.4717346979105</v>
      </c>
      <c r="Y76" s="62">
        <f t="shared" si="63"/>
        <v>9207.4717346979105</v>
      </c>
      <c r="Z76" s="62">
        <f t="shared" si="63"/>
        <v>9207.4717346979087</v>
      </c>
      <c r="AA76" s="62">
        <f t="shared" si="63"/>
        <v>9207.4717346979069</v>
      </c>
      <c r="AB76" s="62">
        <f t="shared" si="63"/>
        <v>9207.4717346979069</v>
      </c>
      <c r="AC76" s="62">
        <f t="shared" si="63"/>
        <v>9207.4717346979069</v>
      </c>
      <c r="AD76" s="62">
        <f t="shared" si="63"/>
        <v>9207.4717346979069</v>
      </c>
      <c r="AE76" s="62">
        <f t="shared" si="63"/>
        <v>9207.4717346979069</v>
      </c>
      <c r="AF76" s="62">
        <f t="shared" si="63"/>
        <v>9207.4717346979069</v>
      </c>
      <c r="AG76" s="62">
        <f t="shared" si="63"/>
        <v>9207.4717346979069</v>
      </c>
      <c r="AH76" s="62">
        <f t="shared" si="63"/>
        <v>9207.4717346979087</v>
      </c>
      <c r="AI76" s="62">
        <f t="shared" si="63"/>
        <v>9207.4717346979069</v>
      </c>
      <c r="AJ76" s="62">
        <f t="shared" si="63"/>
        <v>9207.4717346979087</v>
      </c>
      <c r="AK76" s="62">
        <f t="shared" si="63"/>
        <v>9207.4717346979087</v>
      </c>
      <c r="AL76" s="62">
        <f t="shared" si="63"/>
        <v>9207.4717346979069</v>
      </c>
      <c r="AM76" s="62">
        <f t="shared" ref="AM76:AN76" si="64">((AM34*(AM41-15000))/100)</f>
        <v>9207.4717346979087</v>
      </c>
      <c r="AN76" s="62">
        <f t="shared" si="64"/>
        <v>9207.4717346979069</v>
      </c>
      <c r="AO76" s="62"/>
      <c r="AP76" s="62"/>
    </row>
    <row r="77" spans="2:42" x14ac:dyDescent="0.35">
      <c r="B77" s="52" t="s">
        <v>89</v>
      </c>
      <c r="D77" s="52"/>
      <c r="G77" s="62">
        <f>G48-(IF(G75&lt;G76, G75, G76))</f>
        <v>1248.5593512478263</v>
      </c>
      <c r="H77" s="62"/>
      <c r="I77" s="62">
        <f t="shared" ref="I77:AL77" si="65">I48-(IF(I75&lt;I76, I75, I76))</f>
        <v>1688.3055839176341</v>
      </c>
      <c r="J77" s="62">
        <f t="shared" si="65"/>
        <v>1374.3081706484536</v>
      </c>
      <c r="K77" s="62">
        <f t="shared" si="65"/>
        <v>1380.4358349085405</v>
      </c>
      <c r="L77" s="62">
        <f t="shared" si="65"/>
        <v>1380.4358349085405</v>
      </c>
      <c r="M77" s="62">
        <f t="shared" si="65"/>
        <v>1380.4358349085396</v>
      </c>
      <c r="N77" s="62">
        <f t="shared" si="65"/>
        <v>1380.4358349085405</v>
      </c>
      <c r="O77" s="62">
        <f t="shared" si="65"/>
        <v>1380.4358349085414</v>
      </c>
      <c r="P77" s="62">
        <f t="shared" si="65"/>
        <v>1380.4358349085396</v>
      </c>
      <c r="Q77" s="62">
        <f t="shared" si="65"/>
        <v>1380.4358349085405</v>
      </c>
      <c r="R77" s="62">
        <f t="shared" si="65"/>
        <v>1380.4358349085405</v>
      </c>
      <c r="S77" s="62">
        <f t="shared" si="65"/>
        <v>1380.4358349085405</v>
      </c>
      <c r="T77" s="62">
        <f t="shared" si="65"/>
        <v>1380.4358349085396</v>
      </c>
      <c r="U77" s="62">
        <f t="shared" si="65"/>
        <v>1380.4358349085378</v>
      </c>
      <c r="V77" s="62">
        <f t="shared" si="65"/>
        <v>1380.4358349085378</v>
      </c>
      <c r="W77" s="62">
        <f t="shared" si="65"/>
        <v>1380.4358349085387</v>
      </c>
      <c r="X77" s="62">
        <f t="shared" si="65"/>
        <v>1380.4358349085378</v>
      </c>
      <c r="Y77" s="62">
        <f t="shared" si="65"/>
        <v>1380.4358349085378</v>
      </c>
      <c r="Z77" s="62">
        <f t="shared" si="65"/>
        <v>1380.4358349085396</v>
      </c>
      <c r="AA77" s="62">
        <f t="shared" si="65"/>
        <v>1380.4358349085378</v>
      </c>
      <c r="AB77" s="62">
        <f t="shared" si="65"/>
        <v>1380.4358349085378</v>
      </c>
      <c r="AC77" s="62">
        <f t="shared" si="65"/>
        <v>1380.4358349085369</v>
      </c>
      <c r="AD77" s="62">
        <f t="shared" si="65"/>
        <v>1380.435834908536</v>
      </c>
      <c r="AE77" s="62">
        <f t="shared" si="65"/>
        <v>1380.4358349085378</v>
      </c>
      <c r="AF77" s="62">
        <f t="shared" si="65"/>
        <v>1380.4358349085378</v>
      </c>
      <c r="AG77" s="62">
        <f t="shared" si="65"/>
        <v>1380.4358349085378</v>
      </c>
      <c r="AH77" s="62">
        <f t="shared" si="65"/>
        <v>1380.4358349085396</v>
      </c>
      <c r="AI77" s="62">
        <f t="shared" si="65"/>
        <v>1380.4358349085378</v>
      </c>
      <c r="AJ77" s="62">
        <f t="shared" si="65"/>
        <v>1380.4358349085396</v>
      </c>
      <c r="AK77" s="62">
        <f t="shared" si="65"/>
        <v>1380.4358349085396</v>
      </c>
      <c r="AL77" s="62">
        <f t="shared" si="65"/>
        <v>1380.4358349085378</v>
      </c>
      <c r="AM77" s="62">
        <f t="shared" ref="AM77:AN77" si="66">AM48-(IF(AM75&lt;AM76, AM75, AM76))</f>
        <v>1380.4358349085396</v>
      </c>
      <c r="AN77" s="62">
        <f t="shared" si="66"/>
        <v>1380.4358349085396</v>
      </c>
      <c r="AO77" s="62"/>
      <c r="AP77" s="62"/>
    </row>
    <row r="78" spans="2:42" x14ac:dyDescent="0.35">
      <c r="B78" s="52" t="s">
        <v>93</v>
      </c>
      <c r="G78" s="62">
        <f>(((G23*G40/100))+(G70*G35/100))</f>
        <v>4493.4998510925243</v>
      </c>
      <c r="H78" s="62"/>
      <c r="I78" s="62">
        <f t="shared" ref="I78:AL78" si="67">(((I23*I40/100))+(I70*I35/100))</f>
        <v>9004.5235529388337</v>
      </c>
      <c r="J78" s="62">
        <f t="shared" si="67"/>
        <v>9630.9244998584236</v>
      </c>
      <c r="K78" s="62">
        <f t="shared" si="67"/>
        <v>9627.3840030244173</v>
      </c>
      <c r="L78" s="62">
        <f t="shared" si="67"/>
        <v>9588.811813307515</v>
      </c>
      <c r="M78" s="62">
        <f t="shared" si="67"/>
        <v>9551.0848580794009</v>
      </c>
      <c r="N78" s="62">
        <f t="shared" si="67"/>
        <v>9526.8892434258705</v>
      </c>
      <c r="O78" s="62">
        <f t="shared" si="67"/>
        <v>9471.1030722790274</v>
      </c>
      <c r="P78" s="62">
        <f t="shared" si="67"/>
        <v>9417.4412870925189</v>
      </c>
      <c r="Q78" s="62">
        <f t="shared" si="67"/>
        <v>9365.8240038987624</v>
      </c>
      <c r="R78" s="62">
        <f t="shared" si="67"/>
        <v>9316.1743121677428</v>
      </c>
      <c r="S78" s="62">
        <f t="shared" si="67"/>
        <v>9268.418165056295</v>
      </c>
      <c r="T78" s="62">
        <f t="shared" si="67"/>
        <v>9222.4842736799037</v>
      </c>
      <c r="U78" s="62">
        <f t="shared" si="67"/>
        <v>9178.3040052603992</v>
      </c>
      <c r="V78" s="62">
        <f t="shared" si="67"/>
        <v>9135.8112850083744</v>
      </c>
      <c r="W78" s="62">
        <f t="shared" si="67"/>
        <v>9094.9425016041423</v>
      </c>
      <c r="X78" s="62">
        <f t="shared" si="67"/>
        <v>9055.6364161461606</v>
      </c>
      <c r="Y78" s="62">
        <f t="shared" si="67"/>
        <v>9017.8340744403613</v>
      </c>
      <c r="Z78" s="62">
        <f t="shared" si="67"/>
        <v>8981.4787225086748</v>
      </c>
      <c r="AA78" s="62">
        <f t="shared" si="67"/>
        <v>8946.5157251992459</v>
      </c>
      <c r="AB78" s="62">
        <f t="shared" si="67"/>
        <v>8912.892487785226</v>
      </c>
      <c r="AC78" s="62">
        <f t="shared" si="67"/>
        <v>8880.5583804430862</v>
      </c>
      <c r="AD78" s="62">
        <f t="shared" si="67"/>
        <v>8849.4646655053093</v>
      </c>
      <c r="AE78" s="62">
        <f t="shared" si="67"/>
        <v>8819.5644273862854</v>
      </c>
      <c r="AF78" s="62">
        <f t="shared" si="67"/>
        <v>8790.8125050836825</v>
      </c>
      <c r="AG78" s="62">
        <f t="shared" si="67"/>
        <v>8763.1654271613388</v>
      </c>
      <c r="AH78" s="62">
        <f t="shared" si="67"/>
        <v>8736.5813491229728</v>
      </c>
      <c r="AI78" s="62">
        <f t="shared" si="67"/>
        <v>8711.0199930893887</v>
      </c>
      <c r="AJ78" s="62">
        <f t="shared" si="67"/>
        <v>8686.4425896950052</v>
      </c>
      <c r="AK78" s="62">
        <f t="shared" si="67"/>
        <v>8662.8118221225559</v>
      </c>
      <c r="AL78" s="62">
        <f t="shared" si="67"/>
        <v>8640.091772197864</v>
      </c>
      <c r="AM78" s="62">
        <f t="shared" ref="AM78:AN78" si="68">(((AM23*AM40/100))+(AM70*AM35/100))</f>
        <v>8618.2478684692651</v>
      </c>
      <c r="AN78" s="62">
        <f t="shared" si="68"/>
        <v>8597.2468361991923</v>
      </c>
      <c r="AO78" s="62"/>
      <c r="AP78" s="62"/>
    </row>
    <row r="79" spans="2:42" x14ac:dyDescent="0.35">
      <c r="B79" s="52" t="s">
        <v>101</v>
      </c>
      <c r="G79" s="62">
        <f>(G35*(G41-15000))/100</f>
        <v>4904.9975117375925</v>
      </c>
      <c r="H79" s="62"/>
      <c r="I79" s="62">
        <f t="shared" ref="I79:AL79" si="69">(I35*(I41-15000))/100</f>
        <v>10423.199856954647</v>
      </c>
      <c r="J79" s="62">
        <f t="shared" si="69"/>
        <v>10689.401503557827</v>
      </c>
      <c r="K79" s="62">
        <f t="shared" si="69"/>
        <v>10728.926498908053</v>
      </c>
      <c r="L79" s="62">
        <f t="shared" si="69"/>
        <v>10725.92978885487</v>
      </c>
      <c r="M79" s="62">
        <f t="shared" si="69"/>
        <v>10721.395894323354</v>
      </c>
      <c r="N79" s="62">
        <f t="shared" si="69"/>
        <v>10760.751510404516</v>
      </c>
      <c r="O79" s="62">
        <f t="shared" si="69"/>
        <v>10683.119600920629</v>
      </c>
      <c r="P79" s="62">
        <f t="shared" si="69"/>
        <v>10608.961904713002</v>
      </c>
      <c r="Q79" s="62">
        <f t="shared" si="69"/>
        <v>10538.132226852707</v>
      </c>
      <c r="R79" s="62">
        <f t="shared" si="69"/>
        <v>10470.490287051838</v>
      </c>
      <c r="S79" s="62">
        <f t="shared" si="69"/>
        <v>10405.901486820796</v>
      </c>
      <c r="T79" s="62">
        <f t="shared" si="69"/>
        <v>10344.23668560966</v>
      </c>
      <c r="U79" s="62">
        <f t="shared" si="69"/>
        <v>10285.37198559239</v>
      </c>
      <c r="V79" s="62">
        <f t="shared" si="69"/>
        <v>10229.188524765194</v>
      </c>
      <c r="W79" s="62">
        <f t="shared" si="69"/>
        <v>10175.572278042953</v>
      </c>
      <c r="X79" s="62">
        <f t="shared" si="69"/>
        <v>10124.413866049363</v>
      </c>
      <c r="Y79" s="62">
        <f t="shared" si="69"/>
        <v>10075.608371307828</v>
      </c>
      <c r="Z79" s="62">
        <f t="shared" si="69"/>
        <v>10029.055161551354</v>
      </c>
      <c r="AA79" s="62">
        <f t="shared" si="69"/>
        <v>9984.6577198800205</v>
      </c>
      <c r="AB79" s="62">
        <f t="shared" si="69"/>
        <v>9942.3234815050964</v>
      </c>
      <c r="AC79" s="62">
        <f t="shared" si="69"/>
        <v>9901.963676828429</v>
      </c>
      <c r="AD79" s="62">
        <f t="shared" si="69"/>
        <v>9863.4931806154254</v>
      </c>
      <c r="AE79" s="62">
        <f t="shared" si="69"/>
        <v>9826.8303670288733</v>
      </c>
      <c r="AF79" s="62">
        <f t="shared" si="69"/>
        <v>9791.8969702997474</v>
      </c>
      <c r="AG79" s="62">
        <f t="shared" si="69"/>
        <v>9758.6179508194891</v>
      </c>
      <c r="AH79" s="62">
        <f t="shared" si="69"/>
        <v>9726.9213664464551</v>
      </c>
      <c r="AI79" s="62">
        <f t="shared" si="69"/>
        <v>9696.7382488269741</v>
      </c>
      <c r="AJ79" s="62">
        <f t="shared" si="69"/>
        <v>9668.0024845390908</v>
      </c>
      <c r="AK79" s="62">
        <f t="shared" si="69"/>
        <v>9640.6507008741828</v>
      </c>
      <c r="AL79" s="62">
        <f t="shared" si="69"/>
        <v>9614.6221560787635</v>
      </c>
      <c r="AM79" s="62">
        <f t="shared" ref="AM79:AN79" si="70">(AM35*(AM41-15000))/100</f>
        <v>9589.8586338853784</v>
      </c>
      <c r="AN79" s="62">
        <f t="shared" si="70"/>
        <v>9566.3043421680522</v>
      </c>
      <c r="AO79" s="62"/>
      <c r="AP79" s="62"/>
    </row>
    <row r="80" spans="2:42" x14ac:dyDescent="0.35">
      <c r="B80" s="52" t="s">
        <v>125</v>
      </c>
      <c r="D80" s="52"/>
      <c r="G80" s="62">
        <f>G49-(IF(G78&lt;G79, G78, G79))</f>
        <v>549.05125106756441</v>
      </c>
      <c r="H80" s="62"/>
      <c r="I80" s="62">
        <f t="shared" ref="I80:AL80" si="71">I49-(IF(I78&lt;I79, I78, I79))</f>
        <v>1710.9799312010273</v>
      </c>
      <c r="J80" s="62">
        <f t="shared" si="71"/>
        <v>1358.2458726465193</v>
      </c>
      <c r="K80" s="62">
        <f t="shared" si="71"/>
        <v>1402.4197863964819</v>
      </c>
      <c r="L80" s="62">
        <f t="shared" si="71"/>
        <v>1437.9112276429969</v>
      </c>
      <c r="M80" s="62">
        <f t="shared" si="71"/>
        <v>1470.9771417977463</v>
      </c>
      <c r="N80" s="62">
        <f t="shared" si="71"/>
        <v>1535.6320441005264</v>
      </c>
      <c r="O80" s="62">
        <f t="shared" si="71"/>
        <v>1511.6092306772443</v>
      </c>
      <c r="P80" s="62">
        <f t="shared" si="71"/>
        <v>1489.0336738772203</v>
      </c>
      <c r="Q80" s="62">
        <f t="shared" si="71"/>
        <v>1467.8349629129007</v>
      </c>
      <c r="R80" s="62">
        <f t="shared" si="71"/>
        <v>1447.9457940677621</v>
      </c>
      <c r="S80" s="62">
        <f t="shared" si="71"/>
        <v>1429.301841074599</v>
      </c>
      <c r="T80" s="62">
        <f t="shared" si="71"/>
        <v>1411.8416307072894</v>
      </c>
      <c r="U80" s="62">
        <f t="shared" si="71"/>
        <v>1395.5064233818848</v>
      </c>
      <c r="V80" s="62">
        <f t="shared" si="71"/>
        <v>1380.2400985702989</v>
      </c>
      <c r="W80" s="62">
        <f t="shared" si="71"/>
        <v>1365.9890448378246</v>
      </c>
      <c r="X80" s="62">
        <f t="shared" si="71"/>
        <v>1352.7020543226317</v>
      </c>
      <c r="Y80" s="62">
        <f t="shared" si="71"/>
        <v>1340.3302214826817</v>
      </c>
      <c r="Z80" s="62">
        <f t="shared" si="71"/>
        <v>1328.8268459420597</v>
      </c>
      <c r="AA80" s="62">
        <f t="shared" si="71"/>
        <v>1318.1473392752632</v>
      </c>
      <c r="AB80" s="62">
        <f t="shared" si="71"/>
        <v>1308.2491355742259</v>
      </c>
      <c r="AC80" s="62">
        <f t="shared" si="71"/>
        <v>1299.0916056488059</v>
      </c>
      <c r="AD80" s="62">
        <f t="shared" si="71"/>
        <v>1290.6359747173319</v>
      </c>
      <c r="AE80" s="62">
        <f t="shared" si="71"/>
        <v>1282.8452434491628</v>
      </c>
      <c r="AF80" s="62">
        <f t="shared" si="71"/>
        <v>1275.6841122268415</v>
      </c>
      <c r="AG80" s="62">
        <f t="shared" si="71"/>
        <v>1269.1189085002316</v>
      </c>
      <c r="AH80" s="62">
        <f t="shared" si="71"/>
        <v>1263.1175171102295</v>
      </c>
      <c r="AI80" s="62">
        <f t="shared" si="71"/>
        <v>1257.6493134642151</v>
      </c>
      <c r="AJ80" s="62">
        <f t="shared" si="71"/>
        <v>1252.6850994501237</v>
      </c>
      <c r="AK80" s="62">
        <f t="shared" si="71"/>
        <v>1248.1970419802601</v>
      </c>
      <c r="AL80" s="62">
        <f t="shared" si="71"/>
        <v>1244.1586140603285</v>
      </c>
      <c r="AM80" s="62">
        <f t="shared" ref="AM80:AN80" si="72">AM49-(IF(AM78&lt;AM79, AM78, AM79))</f>
        <v>1240.5445382831658</v>
      </c>
      <c r="AN80" s="62">
        <f t="shared" si="72"/>
        <v>1237.3307326505528</v>
      </c>
      <c r="AO80" s="62"/>
      <c r="AP80" s="62"/>
    </row>
    <row r="81" spans="1:42" x14ac:dyDescent="0.35">
      <c r="B81" s="53" t="s">
        <v>108</v>
      </c>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row>
    <row r="82" spans="1:42" x14ac:dyDescent="0.35">
      <c r="B82" s="52" t="s">
        <v>122</v>
      </c>
      <c r="G82" s="71">
        <v>0.45479999999999998</v>
      </c>
      <c r="H82" s="71"/>
      <c r="I82" s="71">
        <v>0.45479999999999998</v>
      </c>
      <c r="J82" s="71">
        <v>0.45479999999999998</v>
      </c>
      <c r="K82" s="71">
        <v>0.45479999999999998</v>
      </c>
      <c r="L82" s="71">
        <v>0.45479999999999998</v>
      </c>
      <c r="M82" s="71">
        <v>0.45479999999999998</v>
      </c>
      <c r="N82" s="71">
        <v>0.45479999999999998</v>
      </c>
      <c r="O82" s="71">
        <v>0.45479999999999998</v>
      </c>
      <c r="P82" s="71">
        <v>0.45479999999999998</v>
      </c>
      <c r="Q82" s="71">
        <v>0.45479999999999998</v>
      </c>
      <c r="R82" s="71">
        <v>0.45479999999999998</v>
      </c>
      <c r="S82" s="71">
        <v>0.45479999999999998</v>
      </c>
      <c r="T82" s="71">
        <v>0.45479999999999998</v>
      </c>
      <c r="U82" s="71">
        <v>0.45479999999999998</v>
      </c>
      <c r="V82" s="71">
        <v>0.45479999999999998</v>
      </c>
      <c r="W82" s="71">
        <v>0.45479999999999998</v>
      </c>
      <c r="X82" s="71">
        <v>0.45479999999999998</v>
      </c>
      <c r="Y82" s="71">
        <v>0.45479999999999998</v>
      </c>
      <c r="Z82" s="71">
        <v>0.45479999999999998</v>
      </c>
      <c r="AA82" s="71">
        <v>0.45479999999999998</v>
      </c>
      <c r="AB82" s="71">
        <v>0.45479999999999998</v>
      </c>
      <c r="AC82" s="71">
        <v>0.45479999999999998</v>
      </c>
      <c r="AD82" s="71">
        <v>0.45479999999999998</v>
      </c>
      <c r="AE82" s="71">
        <v>0.45479999999999998</v>
      </c>
      <c r="AF82" s="71">
        <v>0.45479999999999998</v>
      </c>
      <c r="AG82" s="71">
        <v>0.45479999999999998</v>
      </c>
      <c r="AH82" s="71">
        <v>0.45479999999999998</v>
      </c>
      <c r="AI82" s="71">
        <v>0.45479999999999998</v>
      </c>
      <c r="AJ82" s="71">
        <v>0.45479999999999998</v>
      </c>
      <c r="AK82" s="71">
        <v>0.45479999999999998</v>
      </c>
      <c r="AL82" s="71">
        <v>0.45479999999999998</v>
      </c>
      <c r="AM82" s="71">
        <v>0.45479999999999998</v>
      </c>
      <c r="AN82" s="71">
        <v>0.45479999999999998</v>
      </c>
      <c r="AO82" s="71"/>
      <c r="AP82" s="71"/>
    </row>
    <row r="83" spans="1:42" x14ac:dyDescent="0.35">
      <c r="B83" s="52" t="s">
        <v>115</v>
      </c>
      <c r="G83" s="62">
        <f>G41*G82/100</f>
        <v>2500.8641005498821</v>
      </c>
      <c r="H83" s="62"/>
      <c r="I83" s="62">
        <f t="shared" ref="I83:AL83" si="73">I41*I82/100</f>
        <v>2500.8641005498821</v>
      </c>
      <c r="J83" s="62">
        <f t="shared" si="73"/>
        <v>2500.8641005498821</v>
      </c>
      <c r="K83" s="62">
        <f t="shared" si="73"/>
        <v>2500.8641005498821</v>
      </c>
      <c r="L83" s="62">
        <f t="shared" si="73"/>
        <v>2500.8641005498821</v>
      </c>
      <c r="M83" s="62">
        <f t="shared" si="73"/>
        <v>2500.8641005498821</v>
      </c>
      <c r="N83" s="62">
        <f t="shared" si="73"/>
        <v>2500.8641005498821</v>
      </c>
      <c r="O83" s="62">
        <f t="shared" si="73"/>
        <v>2500.8641005498821</v>
      </c>
      <c r="P83" s="62">
        <f t="shared" si="73"/>
        <v>2500.8641005498821</v>
      </c>
      <c r="Q83" s="62">
        <f t="shared" si="73"/>
        <v>2500.8641005498821</v>
      </c>
      <c r="R83" s="62">
        <f t="shared" si="73"/>
        <v>2500.8641005498821</v>
      </c>
      <c r="S83" s="62">
        <f t="shared" si="73"/>
        <v>2500.8641005498821</v>
      </c>
      <c r="T83" s="62">
        <f t="shared" si="73"/>
        <v>2500.8641005498821</v>
      </c>
      <c r="U83" s="62">
        <f t="shared" si="73"/>
        <v>2500.8641005498821</v>
      </c>
      <c r="V83" s="62">
        <f t="shared" si="73"/>
        <v>2500.8641005498821</v>
      </c>
      <c r="W83" s="62">
        <f t="shared" si="73"/>
        <v>2500.8641005498821</v>
      </c>
      <c r="X83" s="62">
        <f t="shared" si="73"/>
        <v>2500.8641005498821</v>
      </c>
      <c r="Y83" s="62">
        <f t="shared" si="73"/>
        <v>2500.8641005498821</v>
      </c>
      <c r="Z83" s="62">
        <f t="shared" si="73"/>
        <v>2500.8641005498821</v>
      </c>
      <c r="AA83" s="62">
        <f t="shared" si="73"/>
        <v>2500.8641005498821</v>
      </c>
      <c r="AB83" s="62">
        <f t="shared" si="73"/>
        <v>2500.8641005498821</v>
      </c>
      <c r="AC83" s="62">
        <f t="shared" si="73"/>
        <v>2500.8641005498821</v>
      </c>
      <c r="AD83" s="62">
        <f t="shared" si="73"/>
        <v>2500.8641005498821</v>
      </c>
      <c r="AE83" s="62">
        <f t="shared" si="73"/>
        <v>2500.8641005498821</v>
      </c>
      <c r="AF83" s="62">
        <f t="shared" si="73"/>
        <v>2500.8641005498821</v>
      </c>
      <c r="AG83" s="62">
        <f t="shared" si="73"/>
        <v>2500.8641005498821</v>
      </c>
      <c r="AH83" s="62">
        <f t="shared" si="73"/>
        <v>2500.8641005498821</v>
      </c>
      <c r="AI83" s="62">
        <f t="shared" si="73"/>
        <v>2500.8641005498821</v>
      </c>
      <c r="AJ83" s="62">
        <f t="shared" si="73"/>
        <v>2500.8641005498821</v>
      </c>
      <c r="AK83" s="62">
        <f t="shared" si="73"/>
        <v>2500.8641005498821</v>
      </c>
      <c r="AL83" s="62">
        <f t="shared" si="73"/>
        <v>2500.8641005498821</v>
      </c>
      <c r="AM83" s="62">
        <f t="shared" ref="AM83:AN83" si="74">AM41*AM82/100</f>
        <v>2500.8641005498821</v>
      </c>
      <c r="AN83" s="62">
        <f t="shared" si="74"/>
        <v>2500.8641005498821</v>
      </c>
      <c r="AO83" s="62"/>
      <c r="AP83" s="62"/>
    </row>
    <row r="84" spans="1:42" x14ac:dyDescent="0.35">
      <c r="B84" s="52" t="s">
        <v>116</v>
      </c>
      <c r="G84" s="62">
        <f>G40*(IF(G40&lt;10000, 0.015, IF(G40&lt;47001, 0.03, 0)))</f>
        <v>0</v>
      </c>
      <c r="H84" s="62"/>
      <c r="I84" s="62">
        <f t="shared" ref="I84:AL84" si="75">I40*(IF(I40&lt;10000, 0.015, IF(I40&lt;47001, 0.03, 0)))</f>
        <v>0</v>
      </c>
      <c r="J84" s="62">
        <f t="shared" si="75"/>
        <v>0</v>
      </c>
      <c r="K84" s="62">
        <f t="shared" si="75"/>
        <v>0</v>
      </c>
      <c r="L84" s="62">
        <f t="shared" si="75"/>
        <v>0</v>
      </c>
      <c r="M84" s="62">
        <f t="shared" si="75"/>
        <v>0</v>
      </c>
      <c r="N84" s="62">
        <f t="shared" si="75"/>
        <v>0</v>
      </c>
      <c r="O84" s="62">
        <f t="shared" si="75"/>
        <v>0</v>
      </c>
      <c r="P84" s="62">
        <f t="shared" si="75"/>
        <v>0</v>
      </c>
      <c r="Q84" s="62">
        <f t="shared" si="75"/>
        <v>0</v>
      </c>
      <c r="R84" s="62">
        <f t="shared" si="75"/>
        <v>0</v>
      </c>
      <c r="S84" s="62">
        <f t="shared" si="75"/>
        <v>0</v>
      </c>
      <c r="T84" s="62">
        <f t="shared" si="75"/>
        <v>0</v>
      </c>
      <c r="U84" s="62">
        <f t="shared" si="75"/>
        <v>0</v>
      </c>
      <c r="V84" s="62">
        <f t="shared" si="75"/>
        <v>0</v>
      </c>
      <c r="W84" s="62">
        <f t="shared" si="75"/>
        <v>0</v>
      </c>
      <c r="X84" s="62">
        <f t="shared" si="75"/>
        <v>0</v>
      </c>
      <c r="Y84" s="62">
        <f t="shared" si="75"/>
        <v>0</v>
      </c>
      <c r="Z84" s="62">
        <f t="shared" si="75"/>
        <v>0</v>
      </c>
      <c r="AA84" s="62">
        <f t="shared" si="75"/>
        <v>0</v>
      </c>
      <c r="AB84" s="62">
        <f t="shared" si="75"/>
        <v>0</v>
      </c>
      <c r="AC84" s="62">
        <f t="shared" si="75"/>
        <v>0</v>
      </c>
      <c r="AD84" s="62">
        <f t="shared" si="75"/>
        <v>0</v>
      </c>
      <c r="AE84" s="62">
        <f t="shared" si="75"/>
        <v>0</v>
      </c>
      <c r="AF84" s="62">
        <f t="shared" si="75"/>
        <v>0</v>
      </c>
      <c r="AG84" s="62">
        <f t="shared" si="75"/>
        <v>0</v>
      </c>
      <c r="AH84" s="62">
        <f t="shared" si="75"/>
        <v>0</v>
      </c>
      <c r="AI84" s="62">
        <f t="shared" si="75"/>
        <v>0</v>
      </c>
      <c r="AJ84" s="62">
        <f t="shared" si="75"/>
        <v>0</v>
      </c>
      <c r="AK84" s="62">
        <f t="shared" si="75"/>
        <v>0</v>
      </c>
      <c r="AL84" s="62">
        <f t="shared" si="75"/>
        <v>0</v>
      </c>
      <c r="AM84" s="62">
        <f t="shared" ref="AM84:AN84" si="76">AM40*(IF(AM40&lt;10000, 0.015, IF(AM40&lt;47001, 0.03, 0)))</f>
        <v>0</v>
      </c>
      <c r="AN84" s="62">
        <f t="shared" si="76"/>
        <v>0</v>
      </c>
      <c r="AO84" s="62"/>
      <c r="AP84" s="62"/>
    </row>
    <row r="85" spans="1:42" x14ac:dyDescent="0.35">
      <c r="B85" s="52" t="s">
        <v>118</v>
      </c>
      <c r="G85" s="62">
        <f>IF((G83-G84)&gt;0, (G83-G84), 0)</f>
        <v>2500.8641005498821</v>
      </c>
      <c r="H85" s="62"/>
      <c r="I85" s="62">
        <f>IF((I83-I84)&gt;0, (I83-I84), 0)</f>
        <v>2500.8641005498821</v>
      </c>
      <c r="J85" s="62">
        <f t="shared" ref="J85:AL85" si="77">IF((J83-J84)&gt;0, (J83-J84), 0)</f>
        <v>2500.8641005498821</v>
      </c>
      <c r="K85" s="62">
        <f t="shared" si="77"/>
        <v>2500.8641005498821</v>
      </c>
      <c r="L85" s="62">
        <f t="shared" si="77"/>
        <v>2500.8641005498821</v>
      </c>
      <c r="M85" s="62">
        <f t="shared" si="77"/>
        <v>2500.8641005498821</v>
      </c>
      <c r="N85" s="62">
        <f t="shared" si="77"/>
        <v>2500.8641005498821</v>
      </c>
      <c r="O85" s="62">
        <f t="shared" si="77"/>
        <v>2500.8641005498821</v>
      </c>
      <c r="P85" s="62">
        <f t="shared" si="77"/>
        <v>2500.8641005498821</v>
      </c>
      <c r="Q85" s="62">
        <f t="shared" si="77"/>
        <v>2500.8641005498821</v>
      </c>
      <c r="R85" s="62">
        <f t="shared" si="77"/>
        <v>2500.8641005498821</v>
      </c>
      <c r="S85" s="62">
        <f t="shared" si="77"/>
        <v>2500.8641005498821</v>
      </c>
      <c r="T85" s="62">
        <f t="shared" si="77"/>
        <v>2500.8641005498821</v>
      </c>
      <c r="U85" s="62">
        <f t="shared" si="77"/>
        <v>2500.8641005498821</v>
      </c>
      <c r="V85" s="62">
        <f t="shared" si="77"/>
        <v>2500.8641005498821</v>
      </c>
      <c r="W85" s="62">
        <f t="shared" si="77"/>
        <v>2500.8641005498821</v>
      </c>
      <c r="X85" s="62">
        <f t="shared" si="77"/>
        <v>2500.8641005498821</v>
      </c>
      <c r="Y85" s="62">
        <f t="shared" si="77"/>
        <v>2500.8641005498821</v>
      </c>
      <c r="Z85" s="62">
        <f t="shared" si="77"/>
        <v>2500.8641005498821</v>
      </c>
      <c r="AA85" s="62">
        <f t="shared" si="77"/>
        <v>2500.8641005498821</v>
      </c>
      <c r="AB85" s="62">
        <f t="shared" si="77"/>
        <v>2500.8641005498821</v>
      </c>
      <c r="AC85" s="62">
        <f t="shared" si="77"/>
        <v>2500.8641005498821</v>
      </c>
      <c r="AD85" s="62">
        <f t="shared" si="77"/>
        <v>2500.8641005498821</v>
      </c>
      <c r="AE85" s="62">
        <f t="shared" si="77"/>
        <v>2500.8641005498821</v>
      </c>
      <c r="AF85" s="62">
        <f t="shared" si="77"/>
        <v>2500.8641005498821</v>
      </c>
      <c r="AG85" s="62">
        <f t="shared" si="77"/>
        <v>2500.8641005498821</v>
      </c>
      <c r="AH85" s="62">
        <f t="shared" si="77"/>
        <v>2500.8641005498821</v>
      </c>
      <c r="AI85" s="62">
        <f t="shared" si="77"/>
        <v>2500.8641005498821</v>
      </c>
      <c r="AJ85" s="62">
        <f t="shared" si="77"/>
        <v>2500.8641005498821</v>
      </c>
      <c r="AK85" s="62">
        <f t="shared" si="77"/>
        <v>2500.8641005498821</v>
      </c>
      <c r="AL85" s="62">
        <f t="shared" si="77"/>
        <v>2500.8641005498821</v>
      </c>
      <c r="AM85" s="62">
        <f t="shared" ref="AM85:AN85" si="78">IF((AM83-AM84)&gt;0, (AM83-AM84), 0)</f>
        <v>2500.8641005498821</v>
      </c>
      <c r="AN85" s="62">
        <f t="shared" si="78"/>
        <v>2500.8641005498821</v>
      </c>
      <c r="AO85" s="62"/>
      <c r="AP85" s="62"/>
    </row>
    <row r="86" spans="1:42" x14ac:dyDescent="0.35">
      <c r="B86" s="53" t="s">
        <v>109</v>
      </c>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row>
    <row r="87" spans="1:42" x14ac:dyDescent="0.35">
      <c r="B87" s="52" t="s">
        <v>116</v>
      </c>
      <c r="G87" s="62">
        <f>G40*(IF(G40&lt;10000, 0.005, IF(G40&lt;24999, 0.015, IF(G40&lt;47001, 0.02, 0))))</f>
        <v>0</v>
      </c>
      <c r="H87" s="62"/>
      <c r="I87" s="62">
        <f t="shared" ref="I87:AL87" si="79">I40*(IF(I40&lt;10000, 0.005, IF(I40&lt;24999, 0.015, IF(I40&lt;47001, 0.02, 0))))</f>
        <v>0</v>
      </c>
      <c r="J87" s="62">
        <f t="shared" si="79"/>
        <v>0</v>
      </c>
      <c r="K87" s="62">
        <f t="shared" si="79"/>
        <v>0</v>
      </c>
      <c r="L87" s="62">
        <f t="shared" si="79"/>
        <v>0</v>
      </c>
      <c r="M87" s="62">
        <f t="shared" si="79"/>
        <v>0</v>
      </c>
      <c r="N87" s="62">
        <f t="shared" si="79"/>
        <v>0</v>
      </c>
      <c r="O87" s="62">
        <f t="shared" si="79"/>
        <v>0</v>
      </c>
      <c r="P87" s="62">
        <f t="shared" si="79"/>
        <v>0</v>
      </c>
      <c r="Q87" s="62">
        <f t="shared" si="79"/>
        <v>0</v>
      </c>
      <c r="R87" s="62">
        <f t="shared" si="79"/>
        <v>0</v>
      </c>
      <c r="S87" s="62">
        <f t="shared" si="79"/>
        <v>0</v>
      </c>
      <c r="T87" s="62">
        <f t="shared" si="79"/>
        <v>0</v>
      </c>
      <c r="U87" s="62">
        <f t="shared" si="79"/>
        <v>0</v>
      </c>
      <c r="V87" s="62">
        <f t="shared" si="79"/>
        <v>0</v>
      </c>
      <c r="W87" s="62">
        <f t="shared" si="79"/>
        <v>0</v>
      </c>
      <c r="X87" s="62">
        <f t="shared" si="79"/>
        <v>0</v>
      </c>
      <c r="Y87" s="62">
        <f t="shared" si="79"/>
        <v>0</v>
      </c>
      <c r="Z87" s="62">
        <f t="shared" si="79"/>
        <v>0</v>
      </c>
      <c r="AA87" s="62">
        <f t="shared" si="79"/>
        <v>0</v>
      </c>
      <c r="AB87" s="62">
        <f t="shared" si="79"/>
        <v>0</v>
      </c>
      <c r="AC87" s="62">
        <f t="shared" si="79"/>
        <v>0</v>
      </c>
      <c r="AD87" s="62">
        <f t="shared" si="79"/>
        <v>0</v>
      </c>
      <c r="AE87" s="62">
        <f t="shared" si="79"/>
        <v>0</v>
      </c>
      <c r="AF87" s="62">
        <f t="shared" si="79"/>
        <v>0</v>
      </c>
      <c r="AG87" s="62">
        <f t="shared" si="79"/>
        <v>0</v>
      </c>
      <c r="AH87" s="62">
        <f t="shared" si="79"/>
        <v>0</v>
      </c>
      <c r="AI87" s="62">
        <f t="shared" si="79"/>
        <v>0</v>
      </c>
      <c r="AJ87" s="62">
        <f t="shared" si="79"/>
        <v>0</v>
      </c>
      <c r="AK87" s="62">
        <f t="shared" si="79"/>
        <v>0</v>
      </c>
      <c r="AL87" s="62">
        <f t="shared" si="79"/>
        <v>0</v>
      </c>
      <c r="AM87" s="62">
        <f t="shared" ref="AM87:AN87" si="80">AM40*(IF(AM40&lt;10000, 0.005, IF(AM40&lt;24999, 0.015, IF(AM40&lt;47001, 0.02, 0))))</f>
        <v>0</v>
      </c>
      <c r="AN87" s="62">
        <f t="shared" si="80"/>
        <v>0</v>
      </c>
      <c r="AO87" s="62"/>
      <c r="AP87" s="62"/>
    </row>
    <row r="88" spans="1:42" x14ac:dyDescent="0.35">
      <c r="B88" s="52" t="s">
        <v>110</v>
      </c>
      <c r="D88" s="52"/>
      <c r="G88" s="62">
        <f>(G48-G71)-G87</f>
        <v>3793.9917509122624</v>
      </c>
      <c r="H88" s="62"/>
      <c r="I88" s="62">
        <f t="shared" ref="I88:AL88" si="81">(I48-I71)-I87</f>
        <v>7462.1270376981392</v>
      </c>
      <c r="J88" s="62">
        <f t="shared" si="81"/>
        <v>8049.3563045646624</v>
      </c>
      <c r="K88" s="62">
        <f t="shared" si="81"/>
        <v>8085.2461828304085</v>
      </c>
      <c r="L88" s="62">
        <f t="shared" si="81"/>
        <v>8085.2461828304085</v>
      </c>
      <c r="M88" s="62">
        <f t="shared" si="81"/>
        <v>8085.2461828304095</v>
      </c>
      <c r="N88" s="62">
        <f t="shared" si="81"/>
        <v>8085.2461828304085</v>
      </c>
      <c r="O88" s="62">
        <f t="shared" si="81"/>
        <v>8085.2461828304095</v>
      </c>
      <c r="P88" s="62">
        <f t="shared" si="81"/>
        <v>8085.2461828304095</v>
      </c>
      <c r="Q88" s="62">
        <f t="shared" si="81"/>
        <v>8085.2461828304085</v>
      </c>
      <c r="R88" s="62">
        <f t="shared" si="81"/>
        <v>8085.2461828304085</v>
      </c>
      <c r="S88" s="62">
        <f t="shared" si="81"/>
        <v>8085.2461828304085</v>
      </c>
      <c r="T88" s="62">
        <f t="shared" si="81"/>
        <v>8085.2461828304076</v>
      </c>
      <c r="U88" s="62">
        <f t="shared" si="81"/>
        <v>8085.2461828304076</v>
      </c>
      <c r="V88" s="62">
        <f t="shared" si="81"/>
        <v>8085.2461828304076</v>
      </c>
      <c r="W88" s="62">
        <f t="shared" si="81"/>
        <v>8085.2461828304067</v>
      </c>
      <c r="X88" s="62">
        <f t="shared" si="81"/>
        <v>8085.2461828304076</v>
      </c>
      <c r="Y88" s="62">
        <f t="shared" si="81"/>
        <v>8085.2461828304076</v>
      </c>
      <c r="Z88" s="62">
        <f t="shared" si="81"/>
        <v>8085.2461828304058</v>
      </c>
      <c r="AA88" s="62">
        <f t="shared" si="81"/>
        <v>8085.2461828304058</v>
      </c>
      <c r="AB88" s="62">
        <f t="shared" si="81"/>
        <v>8085.2461828304058</v>
      </c>
      <c r="AC88" s="62">
        <f t="shared" si="81"/>
        <v>8085.2461828304067</v>
      </c>
      <c r="AD88" s="62">
        <f t="shared" si="81"/>
        <v>8085.2461828304058</v>
      </c>
      <c r="AE88" s="62">
        <f t="shared" si="81"/>
        <v>8085.2461828304058</v>
      </c>
      <c r="AF88" s="62">
        <f t="shared" si="81"/>
        <v>8085.2461828304058</v>
      </c>
      <c r="AG88" s="62">
        <f t="shared" si="81"/>
        <v>8085.2461828304058</v>
      </c>
      <c r="AH88" s="62">
        <f t="shared" si="81"/>
        <v>8085.2461828304058</v>
      </c>
      <c r="AI88" s="62">
        <f t="shared" si="81"/>
        <v>8085.2461828304058</v>
      </c>
      <c r="AJ88" s="62">
        <f t="shared" si="81"/>
        <v>8085.2461828304058</v>
      </c>
      <c r="AK88" s="62">
        <f t="shared" si="81"/>
        <v>8085.2461828304058</v>
      </c>
      <c r="AL88" s="62">
        <f t="shared" si="81"/>
        <v>8085.2461828304058</v>
      </c>
      <c r="AM88" s="62">
        <f t="shared" ref="AM88:AN88" si="82">(AM48-AM71)-AM87</f>
        <v>8085.2461828304058</v>
      </c>
      <c r="AN88" s="62">
        <f t="shared" si="82"/>
        <v>8085.246182830404</v>
      </c>
      <c r="AO88" s="62"/>
      <c r="AP88" s="62"/>
    </row>
    <row r="89" spans="1:42" x14ac:dyDescent="0.35">
      <c r="B89" s="52" t="s">
        <v>111</v>
      </c>
      <c r="D89" s="52"/>
      <c r="G89" s="62">
        <f>(G49-G72)-G87</f>
        <v>4493.4998510925243</v>
      </c>
      <c r="H89" s="62"/>
      <c r="I89" s="62">
        <f t="shared" ref="I89:AL89" si="83">(I49-I72)-I87</f>
        <v>9004.5235529388337</v>
      </c>
      <c r="J89" s="62">
        <f t="shared" si="83"/>
        <v>9630.9244998584236</v>
      </c>
      <c r="K89" s="62">
        <f t="shared" si="83"/>
        <v>9627.3840030244173</v>
      </c>
      <c r="L89" s="62">
        <f t="shared" si="83"/>
        <v>9588.811813307515</v>
      </c>
      <c r="M89" s="62">
        <f t="shared" si="83"/>
        <v>9551.0848580794009</v>
      </c>
      <c r="N89" s="62">
        <f t="shared" si="83"/>
        <v>9526.8892434258705</v>
      </c>
      <c r="O89" s="62">
        <f t="shared" si="83"/>
        <v>9471.1030722790274</v>
      </c>
      <c r="P89" s="62">
        <f t="shared" si="83"/>
        <v>9417.4412870925189</v>
      </c>
      <c r="Q89" s="62">
        <f t="shared" si="83"/>
        <v>9365.8240038987624</v>
      </c>
      <c r="R89" s="62">
        <f t="shared" si="83"/>
        <v>9316.1743121677428</v>
      </c>
      <c r="S89" s="62">
        <f t="shared" si="83"/>
        <v>9268.418165056295</v>
      </c>
      <c r="T89" s="62">
        <f t="shared" si="83"/>
        <v>9222.4842736799037</v>
      </c>
      <c r="U89" s="62">
        <f t="shared" si="83"/>
        <v>9178.3040052603992</v>
      </c>
      <c r="V89" s="62">
        <f t="shared" si="83"/>
        <v>9135.8112850083744</v>
      </c>
      <c r="W89" s="62">
        <f t="shared" si="83"/>
        <v>9094.9425016041423</v>
      </c>
      <c r="X89" s="62">
        <f t="shared" si="83"/>
        <v>9055.6364161461606</v>
      </c>
      <c r="Y89" s="62">
        <f t="shared" si="83"/>
        <v>9017.8340744403613</v>
      </c>
      <c r="Z89" s="62">
        <f t="shared" si="83"/>
        <v>8981.4787225086748</v>
      </c>
      <c r="AA89" s="62">
        <f t="shared" si="83"/>
        <v>8946.5157251992459</v>
      </c>
      <c r="AB89" s="62">
        <f t="shared" si="83"/>
        <v>8912.892487785226</v>
      </c>
      <c r="AC89" s="62">
        <f t="shared" si="83"/>
        <v>8880.5583804430862</v>
      </c>
      <c r="AD89" s="62">
        <f t="shared" si="83"/>
        <v>8849.4646655053093</v>
      </c>
      <c r="AE89" s="62">
        <f t="shared" si="83"/>
        <v>8819.5644273862854</v>
      </c>
      <c r="AF89" s="62">
        <f t="shared" si="83"/>
        <v>8790.8125050836825</v>
      </c>
      <c r="AG89" s="62">
        <f t="shared" si="83"/>
        <v>8763.1654271613388</v>
      </c>
      <c r="AH89" s="62">
        <f t="shared" si="83"/>
        <v>8736.5813491229728</v>
      </c>
      <c r="AI89" s="62">
        <f t="shared" si="83"/>
        <v>8711.0199930893887</v>
      </c>
      <c r="AJ89" s="62">
        <f t="shared" si="83"/>
        <v>8686.4425896950052</v>
      </c>
      <c r="AK89" s="62">
        <f t="shared" si="83"/>
        <v>8662.8118221225559</v>
      </c>
      <c r="AL89" s="62">
        <f t="shared" si="83"/>
        <v>8640.091772197864</v>
      </c>
      <c r="AM89" s="62">
        <f t="shared" ref="AM89:AN89" si="84">(AM49-AM72)-AM87</f>
        <v>8618.2478684692651</v>
      </c>
      <c r="AN89" s="62">
        <f t="shared" si="84"/>
        <v>8597.2468361991923</v>
      </c>
      <c r="AO89" s="62"/>
      <c r="AP89" s="62"/>
    </row>
    <row r="90" spans="1:42" x14ac:dyDescent="0.35">
      <c r="B90" s="52"/>
      <c r="D90" s="5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row>
    <row r="91" spans="1:42" x14ac:dyDescent="0.35">
      <c r="B91" s="52" t="s">
        <v>112</v>
      </c>
      <c r="D91" s="52"/>
      <c r="G91" s="62">
        <f>IF(G40&gt;=90000, G54, IF(G40&gt;=47000, G56, G58))</f>
        <v>0</v>
      </c>
      <c r="H91" s="62"/>
      <c r="I91" s="62">
        <f t="shared" ref="I91:AL91" si="85">IF(I40&gt;=90000, I54, IF(I40&gt;=47000, I56, I58))</f>
        <v>0</v>
      </c>
      <c r="J91" s="62">
        <f t="shared" si="85"/>
        <v>0</v>
      </c>
      <c r="K91" s="62">
        <f t="shared" si="85"/>
        <v>0</v>
      </c>
      <c r="L91" s="62">
        <f t="shared" si="85"/>
        <v>0</v>
      </c>
      <c r="M91" s="62">
        <f t="shared" si="85"/>
        <v>0</v>
      </c>
      <c r="N91" s="62">
        <f t="shared" si="85"/>
        <v>0</v>
      </c>
      <c r="O91" s="62">
        <f t="shared" si="85"/>
        <v>0</v>
      </c>
      <c r="P91" s="62">
        <f t="shared" si="85"/>
        <v>0</v>
      </c>
      <c r="Q91" s="62">
        <f t="shared" si="85"/>
        <v>0</v>
      </c>
      <c r="R91" s="62">
        <f t="shared" si="85"/>
        <v>0</v>
      </c>
      <c r="S91" s="62">
        <f t="shared" si="85"/>
        <v>0</v>
      </c>
      <c r="T91" s="62">
        <f t="shared" si="85"/>
        <v>0</v>
      </c>
      <c r="U91" s="62">
        <f t="shared" si="85"/>
        <v>0</v>
      </c>
      <c r="V91" s="62">
        <f t="shared" si="85"/>
        <v>0</v>
      </c>
      <c r="W91" s="62">
        <f t="shared" si="85"/>
        <v>0</v>
      </c>
      <c r="X91" s="62">
        <f t="shared" si="85"/>
        <v>0</v>
      </c>
      <c r="Y91" s="62">
        <f t="shared" si="85"/>
        <v>0</v>
      </c>
      <c r="Z91" s="62">
        <f t="shared" si="85"/>
        <v>0</v>
      </c>
      <c r="AA91" s="62">
        <f t="shared" si="85"/>
        <v>0</v>
      </c>
      <c r="AB91" s="62">
        <f t="shared" si="85"/>
        <v>0</v>
      </c>
      <c r="AC91" s="62">
        <f t="shared" si="85"/>
        <v>0</v>
      </c>
      <c r="AD91" s="62">
        <f t="shared" si="85"/>
        <v>0</v>
      </c>
      <c r="AE91" s="62">
        <f t="shared" si="85"/>
        <v>0</v>
      </c>
      <c r="AF91" s="62">
        <f t="shared" si="85"/>
        <v>0</v>
      </c>
      <c r="AG91" s="62">
        <f t="shared" si="85"/>
        <v>0</v>
      </c>
      <c r="AH91" s="62">
        <f t="shared" si="85"/>
        <v>0</v>
      </c>
      <c r="AI91" s="62">
        <f t="shared" si="85"/>
        <v>0</v>
      </c>
      <c r="AJ91" s="62">
        <f t="shared" si="85"/>
        <v>0</v>
      </c>
      <c r="AK91" s="62">
        <f t="shared" si="85"/>
        <v>0</v>
      </c>
      <c r="AL91" s="62">
        <f t="shared" si="85"/>
        <v>0</v>
      </c>
      <c r="AM91" s="62">
        <f t="shared" ref="AM91:AN91" si="86">IF(AM40&gt;=90000, AM54, IF(AM40&gt;=47000, AM56, AM58))</f>
        <v>0</v>
      </c>
      <c r="AN91" s="62">
        <f t="shared" si="86"/>
        <v>0</v>
      </c>
      <c r="AO91" s="62"/>
      <c r="AP91" s="62"/>
    </row>
    <row r="92" spans="1:42" x14ac:dyDescent="0.35">
      <c r="B92" s="52" t="s">
        <v>113</v>
      </c>
      <c r="D92" s="52"/>
      <c r="G92" s="62">
        <f>IF(G40&gt;=90000, G55, IF(G40&gt;=47000, G57, G59))</f>
        <v>0</v>
      </c>
      <c r="H92" s="62"/>
      <c r="I92" s="62">
        <f t="shared" ref="I92:AL92" si="87">IF(I40&gt;=90000, I55, IF(I40&gt;=47000, I57, I59))</f>
        <v>0</v>
      </c>
      <c r="J92" s="62">
        <f t="shared" si="87"/>
        <v>0</v>
      </c>
      <c r="K92" s="62">
        <f t="shared" si="87"/>
        <v>0</v>
      </c>
      <c r="L92" s="62">
        <f t="shared" si="87"/>
        <v>0</v>
      </c>
      <c r="M92" s="62">
        <f t="shared" si="87"/>
        <v>0</v>
      </c>
      <c r="N92" s="62">
        <f t="shared" si="87"/>
        <v>0</v>
      </c>
      <c r="O92" s="62">
        <f t="shared" si="87"/>
        <v>0</v>
      </c>
      <c r="P92" s="62">
        <f t="shared" si="87"/>
        <v>0</v>
      </c>
      <c r="Q92" s="62">
        <f t="shared" si="87"/>
        <v>0</v>
      </c>
      <c r="R92" s="62">
        <f t="shared" si="87"/>
        <v>0</v>
      </c>
      <c r="S92" s="62">
        <f t="shared" si="87"/>
        <v>0</v>
      </c>
      <c r="T92" s="62">
        <f t="shared" si="87"/>
        <v>0</v>
      </c>
      <c r="U92" s="62">
        <f t="shared" si="87"/>
        <v>0</v>
      </c>
      <c r="V92" s="62">
        <f t="shared" si="87"/>
        <v>0</v>
      </c>
      <c r="W92" s="62">
        <f t="shared" si="87"/>
        <v>0</v>
      </c>
      <c r="X92" s="62">
        <f t="shared" si="87"/>
        <v>0</v>
      </c>
      <c r="Y92" s="62">
        <f t="shared" si="87"/>
        <v>0</v>
      </c>
      <c r="Z92" s="62">
        <f t="shared" si="87"/>
        <v>0</v>
      </c>
      <c r="AA92" s="62">
        <f t="shared" si="87"/>
        <v>0</v>
      </c>
      <c r="AB92" s="62">
        <f t="shared" si="87"/>
        <v>0</v>
      </c>
      <c r="AC92" s="62">
        <f t="shared" si="87"/>
        <v>0</v>
      </c>
      <c r="AD92" s="62">
        <f t="shared" si="87"/>
        <v>0</v>
      </c>
      <c r="AE92" s="62">
        <f t="shared" si="87"/>
        <v>0</v>
      </c>
      <c r="AF92" s="62">
        <f t="shared" si="87"/>
        <v>0</v>
      </c>
      <c r="AG92" s="62">
        <f t="shared" si="87"/>
        <v>0</v>
      </c>
      <c r="AH92" s="62">
        <f t="shared" si="87"/>
        <v>0</v>
      </c>
      <c r="AI92" s="62">
        <f t="shared" si="87"/>
        <v>0</v>
      </c>
      <c r="AJ92" s="62">
        <f t="shared" si="87"/>
        <v>0</v>
      </c>
      <c r="AK92" s="62">
        <f t="shared" si="87"/>
        <v>0</v>
      </c>
      <c r="AL92" s="62">
        <f t="shared" si="87"/>
        <v>0</v>
      </c>
      <c r="AM92" s="62">
        <f t="shared" ref="AM92:AN92" si="88">IF(AM40&gt;=90000, AM55, IF(AM40&gt;=47000, AM57, AM59))</f>
        <v>0</v>
      </c>
      <c r="AN92" s="62">
        <f t="shared" si="88"/>
        <v>0</v>
      </c>
      <c r="AO92" s="62"/>
      <c r="AP92" s="62"/>
    </row>
    <row r="93" spans="1:42" x14ac:dyDescent="0.35">
      <c r="B93" s="27"/>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row>
    <row r="94" spans="1:42" x14ac:dyDescent="0.35">
      <c r="A94" s="42" t="s">
        <v>84</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row>
    <row r="95" spans="1:42" x14ac:dyDescent="0.35">
      <c r="A95" s="42"/>
      <c r="B95" s="27" t="s">
        <v>96</v>
      </c>
      <c r="E95" s="43"/>
      <c r="G95" s="60">
        <f>G48-G60</f>
        <v>5042.5511021600887</v>
      </c>
      <c r="H95" s="60"/>
      <c r="I95" s="60">
        <f t="shared" ref="I95:AL96" si="89">I48-I60</f>
        <v>9150.4326216157733</v>
      </c>
      <c r="J95" s="60">
        <f t="shared" si="89"/>
        <v>9423.664475213116</v>
      </c>
      <c r="K95" s="60">
        <f t="shared" si="89"/>
        <v>9465.6820177389491</v>
      </c>
      <c r="L95" s="60">
        <f t="shared" si="89"/>
        <v>9465.6820177389491</v>
      </c>
      <c r="M95" s="60">
        <f t="shared" si="89"/>
        <v>9465.6820177389491</v>
      </c>
      <c r="N95" s="60">
        <f t="shared" si="89"/>
        <v>9465.6820177389491</v>
      </c>
      <c r="O95" s="60">
        <f t="shared" si="89"/>
        <v>9465.6820177389509</v>
      </c>
      <c r="P95" s="60">
        <f t="shared" si="89"/>
        <v>9465.6820177389491</v>
      </c>
      <c r="Q95" s="60">
        <f t="shared" si="89"/>
        <v>9465.6820177389491</v>
      </c>
      <c r="R95" s="60">
        <f t="shared" si="89"/>
        <v>9465.6820177389491</v>
      </c>
      <c r="S95" s="60">
        <f t="shared" si="89"/>
        <v>9465.6820177389491</v>
      </c>
      <c r="T95" s="60">
        <f t="shared" si="89"/>
        <v>9465.6820177389473</v>
      </c>
      <c r="U95" s="60">
        <f t="shared" si="89"/>
        <v>9465.6820177389454</v>
      </c>
      <c r="V95" s="60">
        <f t="shared" si="89"/>
        <v>9465.6820177389454</v>
      </c>
      <c r="W95" s="60">
        <f t="shared" si="89"/>
        <v>9465.6820177389454</v>
      </c>
      <c r="X95" s="60">
        <f t="shared" si="89"/>
        <v>9465.6820177389454</v>
      </c>
      <c r="Y95" s="60">
        <f t="shared" si="89"/>
        <v>9465.6820177389454</v>
      </c>
      <c r="Z95" s="60">
        <f t="shared" si="89"/>
        <v>9465.6820177389454</v>
      </c>
      <c r="AA95" s="60">
        <f t="shared" si="89"/>
        <v>9465.6820177389436</v>
      </c>
      <c r="AB95" s="60">
        <f t="shared" si="89"/>
        <v>9465.6820177389436</v>
      </c>
      <c r="AC95" s="60">
        <f t="shared" si="89"/>
        <v>9465.6820177389436</v>
      </c>
      <c r="AD95" s="60">
        <f t="shared" si="89"/>
        <v>9465.6820177389418</v>
      </c>
      <c r="AE95" s="60">
        <f t="shared" si="89"/>
        <v>9465.6820177389436</v>
      </c>
      <c r="AF95" s="60">
        <f t="shared" si="89"/>
        <v>9465.6820177389436</v>
      </c>
      <c r="AG95" s="60">
        <f t="shared" si="89"/>
        <v>9465.6820177389436</v>
      </c>
      <c r="AH95" s="60">
        <f t="shared" si="89"/>
        <v>9465.6820177389454</v>
      </c>
      <c r="AI95" s="60">
        <f t="shared" si="89"/>
        <v>9465.6820177389436</v>
      </c>
      <c r="AJ95" s="60">
        <f t="shared" si="89"/>
        <v>9465.6820177389454</v>
      </c>
      <c r="AK95" s="60">
        <f t="shared" si="89"/>
        <v>9465.6820177389454</v>
      </c>
      <c r="AL95" s="60">
        <f t="shared" si="89"/>
        <v>9465.6820177389436</v>
      </c>
      <c r="AM95" s="60">
        <f t="shared" ref="AM95:AN95" si="90">AM48-AM60</f>
        <v>9465.6820177389454</v>
      </c>
      <c r="AN95" s="60">
        <f t="shared" si="90"/>
        <v>9465.6820177389436</v>
      </c>
      <c r="AO95" s="60"/>
      <c r="AP95" s="60"/>
    </row>
    <row r="96" spans="1:42" x14ac:dyDescent="0.35">
      <c r="B96" s="27" t="s">
        <v>97</v>
      </c>
      <c r="G96" s="60">
        <f>G49-G61</f>
        <v>5042.5511021600887</v>
      </c>
      <c r="H96" s="60"/>
      <c r="I96" s="60">
        <f t="shared" si="89"/>
        <v>10715.503484139861</v>
      </c>
      <c r="J96" s="60">
        <f t="shared" si="89"/>
        <v>10989.170372504943</v>
      </c>
      <c r="K96" s="60">
        <f t="shared" si="89"/>
        <v>11029.803789420899</v>
      </c>
      <c r="L96" s="60">
        <f t="shared" si="89"/>
        <v>11026.723040950512</v>
      </c>
      <c r="M96" s="60">
        <f t="shared" si="89"/>
        <v>11022.061999877147</v>
      </c>
      <c r="N96" s="60">
        <f t="shared" si="89"/>
        <v>11062.521287526397</v>
      </c>
      <c r="O96" s="60">
        <f t="shared" si="89"/>
        <v>10982.712302956272</v>
      </c>
      <c r="P96" s="60">
        <f t="shared" si="89"/>
        <v>10906.474960969739</v>
      </c>
      <c r="Q96" s="60">
        <f t="shared" si="89"/>
        <v>10833.658966811663</v>
      </c>
      <c r="R96" s="60">
        <f t="shared" si="89"/>
        <v>10764.120106235505</v>
      </c>
      <c r="S96" s="60">
        <f t="shared" si="89"/>
        <v>10697.720006130894</v>
      </c>
      <c r="T96" s="60">
        <f t="shared" si="89"/>
        <v>10634.325904387193</v>
      </c>
      <c r="U96" s="60">
        <f t="shared" si="89"/>
        <v>10573.810428642284</v>
      </c>
      <c r="V96" s="60">
        <f t="shared" si="89"/>
        <v>10516.051383578673</v>
      </c>
      <c r="W96" s="60">
        <f t="shared" si="89"/>
        <v>10460.931546441967</v>
      </c>
      <c r="X96" s="60">
        <f t="shared" si="89"/>
        <v>10408.338470468792</v>
      </c>
      <c r="Y96" s="60">
        <f t="shared" si="89"/>
        <v>10358.164295923043</v>
      </c>
      <c r="Z96" s="60">
        <f t="shared" si="89"/>
        <v>10310.305568450734</v>
      </c>
      <c r="AA96" s="60">
        <f t="shared" si="89"/>
        <v>10264.663064474509</v>
      </c>
      <c r="AB96" s="60">
        <f t="shared" si="89"/>
        <v>10221.141623359452</v>
      </c>
      <c r="AC96" s="60">
        <f t="shared" si="89"/>
        <v>10179.649986091892</v>
      </c>
      <c r="AD96" s="60">
        <f t="shared" si="89"/>
        <v>10140.100640222641</v>
      </c>
      <c r="AE96" s="60">
        <f t="shared" si="89"/>
        <v>10102.409670835448</v>
      </c>
      <c r="AF96" s="60">
        <f t="shared" si="89"/>
        <v>10066.496617310524</v>
      </c>
      <c r="AG96" s="60">
        <f t="shared" si="89"/>
        <v>10032.28433566157</v>
      </c>
      <c r="AH96" s="60">
        <f t="shared" si="89"/>
        <v>9999.6988662332024</v>
      </c>
      <c r="AI96" s="60">
        <f t="shared" si="89"/>
        <v>9968.6693065536037</v>
      </c>
      <c r="AJ96" s="60">
        <f t="shared" si="89"/>
        <v>9939.1276891451289</v>
      </c>
      <c r="AK96" s="60">
        <f t="shared" si="89"/>
        <v>9911.008864102816</v>
      </c>
      <c r="AL96" s="60">
        <f t="shared" si="89"/>
        <v>9884.2503862581925</v>
      </c>
      <c r="AM96" s="60">
        <f t="shared" ref="AM96:AN96" si="91">AM49-AM61</f>
        <v>9858.7924067524309</v>
      </c>
      <c r="AN96" s="60">
        <f t="shared" si="91"/>
        <v>9834.5775688497451</v>
      </c>
      <c r="AO96" s="60"/>
      <c r="AP96" s="60"/>
    </row>
    <row r="97" spans="1:42" x14ac:dyDescent="0.35">
      <c r="B97" s="27" t="s">
        <v>66</v>
      </c>
      <c r="G97" s="60">
        <f xml:space="preserve"> G96-G95</f>
        <v>0</v>
      </c>
      <c r="H97" s="60"/>
      <c r="I97" s="60">
        <f xml:space="preserve"> I96-I95</f>
        <v>1565.0708625240877</v>
      </c>
      <c r="J97" s="60">
        <f t="shared" ref="J97:AL97" si="92" xml:space="preserve"> J96-J95</f>
        <v>1565.5058972918268</v>
      </c>
      <c r="K97" s="60">
        <f t="shared" si="92"/>
        <v>1564.1217716819501</v>
      </c>
      <c r="L97" s="60">
        <f t="shared" si="92"/>
        <v>1561.0410232115628</v>
      </c>
      <c r="M97" s="60">
        <f t="shared" si="92"/>
        <v>1556.3799821381981</v>
      </c>
      <c r="N97" s="60">
        <f t="shared" si="92"/>
        <v>1596.8392697874478</v>
      </c>
      <c r="O97" s="60">
        <f t="shared" si="92"/>
        <v>1517.0302852173209</v>
      </c>
      <c r="P97" s="60">
        <f t="shared" si="92"/>
        <v>1440.7929432307901</v>
      </c>
      <c r="Q97" s="60">
        <f t="shared" si="92"/>
        <v>1367.976949072714</v>
      </c>
      <c r="R97" s="60">
        <f t="shared" si="92"/>
        <v>1298.4380884965558</v>
      </c>
      <c r="S97" s="60">
        <f t="shared" si="92"/>
        <v>1232.037988391945</v>
      </c>
      <c r="T97" s="60">
        <f t="shared" si="92"/>
        <v>1168.6438866482458</v>
      </c>
      <c r="U97" s="60">
        <f t="shared" si="92"/>
        <v>1108.1284109033386</v>
      </c>
      <c r="V97" s="60">
        <f t="shared" si="92"/>
        <v>1050.3693658397278</v>
      </c>
      <c r="W97" s="60">
        <f t="shared" si="92"/>
        <v>995.2495287030215</v>
      </c>
      <c r="X97" s="60">
        <f t="shared" si="92"/>
        <v>942.65645272984693</v>
      </c>
      <c r="Y97" s="60">
        <f t="shared" si="92"/>
        <v>892.48227818409759</v>
      </c>
      <c r="Z97" s="60">
        <f t="shared" si="92"/>
        <v>844.62355071178899</v>
      </c>
      <c r="AA97" s="60">
        <f t="shared" si="92"/>
        <v>798.98104673556554</v>
      </c>
      <c r="AB97" s="60">
        <f t="shared" si="92"/>
        <v>755.45960562050823</v>
      </c>
      <c r="AC97" s="60">
        <f t="shared" si="92"/>
        <v>713.96796835294845</v>
      </c>
      <c r="AD97" s="60">
        <f t="shared" si="92"/>
        <v>674.41862248369944</v>
      </c>
      <c r="AE97" s="60">
        <f t="shared" si="92"/>
        <v>636.72765309650458</v>
      </c>
      <c r="AF97" s="60">
        <f t="shared" si="92"/>
        <v>600.8145995715804</v>
      </c>
      <c r="AG97" s="60">
        <f t="shared" si="92"/>
        <v>566.60231792262675</v>
      </c>
      <c r="AH97" s="60">
        <f t="shared" si="92"/>
        <v>534.01684849425692</v>
      </c>
      <c r="AI97" s="60">
        <f t="shared" si="92"/>
        <v>502.98728881466013</v>
      </c>
      <c r="AJ97" s="60">
        <f t="shared" si="92"/>
        <v>473.44567140618346</v>
      </c>
      <c r="AK97" s="60">
        <f t="shared" si="92"/>
        <v>445.32684636387057</v>
      </c>
      <c r="AL97" s="60">
        <f t="shared" si="92"/>
        <v>418.56836851924891</v>
      </c>
      <c r="AM97" s="60">
        <f t="shared" ref="AM97:AN97" si="93" xml:space="preserve"> AM96-AM95</f>
        <v>393.11038901348547</v>
      </c>
      <c r="AN97" s="60">
        <f t="shared" si="93"/>
        <v>368.89555111080153</v>
      </c>
      <c r="AO97" s="60"/>
      <c r="AP97" s="60"/>
    </row>
    <row r="98" spans="1:42" x14ac:dyDescent="0.35">
      <c r="B98" s="27" t="s">
        <v>67</v>
      </c>
      <c r="G98" s="59">
        <f>G97/G95</f>
        <v>0</v>
      </c>
      <c r="H98" s="59"/>
      <c r="I98" s="59">
        <f>I97/I95</f>
        <v>0.17103790905218744</v>
      </c>
      <c r="J98" s="59">
        <f t="shared" ref="J98:AL98" si="94">J97/J95</f>
        <v>0.1661249614106643</v>
      </c>
      <c r="K98" s="59">
        <f t="shared" si="94"/>
        <v>0.16524131792624586</v>
      </c>
      <c r="L98" s="59">
        <f t="shared" si="94"/>
        <v>0.16491585289745936</v>
      </c>
      <c r="M98" s="59">
        <f t="shared" si="94"/>
        <v>0.16442343818665142</v>
      </c>
      <c r="N98" s="59">
        <f t="shared" si="94"/>
        <v>0.16869775118104824</v>
      </c>
      <c r="O98" s="59">
        <f t="shared" si="94"/>
        <v>0.16026634767303233</v>
      </c>
      <c r="P98" s="59">
        <f t="shared" si="94"/>
        <v>0.15221226959987716</v>
      </c>
      <c r="Q98" s="59">
        <f t="shared" si="94"/>
        <v>0.14451963910356247</v>
      </c>
      <c r="R98" s="59">
        <f t="shared" si="94"/>
        <v>0.13717322070012991</v>
      </c>
      <c r="S98" s="59">
        <f t="shared" si="94"/>
        <v>0.13015839599123147</v>
      </c>
      <c r="T98" s="59">
        <f t="shared" si="94"/>
        <v>0.12346113935141442</v>
      </c>
      <c r="U98" s="59">
        <f t="shared" si="94"/>
        <v>0.1170679945540824</v>
      </c>
      <c r="V98" s="59">
        <f t="shared" si="94"/>
        <v>0.11096605230043721</v>
      </c>
      <c r="W98" s="59">
        <f t="shared" si="94"/>
        <v>0.10514292861707131</v>
      </c>
      <c r="X98" s="59">
        <f t="shared" si="94"/>
        <v>9.9586744089151011E-2</v>
      </c>
      <c r="Y98" s="59">
        <f t="shared" si="94"/>
        <v>9.4286103897380194E-2</v>
      </c>
      <c r="Z98" s="59">
        <f t="shared" si="94"/>
        <v>8.9230078628137047E-2</v>
      </c>
      <c r="AA98" s="59">
        <f t="shared" si="94"/>
        <v>8.4408185827313187E-2</v>
      </c>
      <c r="AB98" s="59">
        <f t="shared" si="94"/>
        <v>7.9810372269505409E-2</v>
      </c>
      <c r="AC98" s="59">
        <f t="shared" si="94"/>
        <v>7.5426996915272798E-2</v>
      </c>
      <c r="AD98" s="59">
        <f t="shared" si="94"/>
        <v>7.1248814530196644E-2</v>
      </c>
      <c r="AE98" s="59">
        <f t="shared" si="94"/>
        <v>6.7266959940473367E-2</v>
      </c>
      <c r="AF98" s="59">
        <f t="shared" si="94"/>
        <v>6.3472932900728932E-2</v>
      </c>
      <c r="AG98" s="59">
        <f t="shared" si="94"/>
        <v>5.9858583550641012E-2</v>
      </c>
      <c r="AH98" s="59">
        <f t="shared" si="94"/>
        <v>5.641609843786162E-2</v>
      </c>
      <c r="AI98" s="59">
        <f t="shared" si="94"/>
        <v>5.3137987085563235E-2</v>
      </c>
      <c r="AJ98" s="59">
        <f t="shared" si="94"/>
        <v>5.0017069083763153E-2</v>
      </c>
      <c r="AK98" s="59">
        <f t="shared" si="94"/>
        <v>4.7046461684357867E-2</v>
      </c>
      <c r="AL98" s="59">
        <f t="shared" si="94"/>
        <v>4.421956788056481E-2</v>
      </c>
      <c r="AM98" s="59">
        <f t="shared" ref="AM98:AN98" si="95">AM97/AM95</f>
        <v>4.1530064952191074E-2</v>
      </c>
      <c r="AN98" s="59">
        <f t="shared" si="95"/>
        <v>3.8971893458863434E-2</v>
      </c>
      <c r="AO98" s="59"/>
      <c r="AP98" s="59"/>
    </row>
    <row r="99" spans="1:42" x14ac:dyDescent="0.35">
      <c r="B99" s="27"/>
      <c r="G99" s="48"/>
      <c r="H99" s="48"/>
      <c r="I99" s="112"/>
    </row>
    <row r="101" spans="1:42" x14ac:dyDescent="0.35">
      <c r="A101" s="42" t="s">
        <v>102</v>
      </c>
      <c r="G101" s="27"/>
      <c r="H101" s="27"/>
      <c r="I101" s="113"/>
      <c r="J101" s="113"/>
      <c r="K101" s="113"/>
      <c r="L101" s="113"/>
      <c r="M101" s="113"/>
      <c r="N101" s="113"/>
      <c r="O101" s="113"/>
    </row>
    <row r="102" spans="1:42" x14ac:dyDescent="0.35">
      <c r="A102" s="42"/>
      <c r="B102" s="27" t="s">
        <v>69</v>
      </c>
      <c r="F102" s="44"/>
      <c r="G102" s="41">
        <f>G22*G40/100</f>
        <v>2419.5363933520553</v>
      </c>
      <c r="H102" s="41"/>
      <c r="I102" s="104"/>
      <c r="J102" s="104"/>
      <c r="K102" s="104"/>
      <c r="L102" s="104"/>
      <c r="M102" s="104"/>
      <c r="N102" s="104"/>
      <c r="O102" s="104"/>
      <c r="P102" s="104"/>
      <c r="Q102" s="104"/>
      <c r="R102" s="104"/>
    </row>
    <row r="103" spans="1:42" x14ac:dyDescent="0.35">
      <c r="B103" s="27" t="s">
        <v>70</v>
      </c>
      <c r="F103" s="40"/>
      <c r="G103" s="41">
        <f>G23*G40/100</f>
        <v>3119.0444935323171</v>
      </c>
      <c r="H103" s="41"/>
      <c r="I103" s="104"/>
      <c r="J103" s="104"/>
      <c r="K103" s="104"/>
      <c r="L103" s="104"/>
      <c r="M103" s="104"/>
      <c r="N103" s="104"/>
      <c r="O103" s="104"/>
      <c r="P103" s="104"/>
      <c r="Q103" s="104"/>
      <c r="R103" s="104"/>
    </row>
    <row r="104" spans="1:42" x14ac:dyDescent="0.35">
      <c r="B104" s="27" t="s">
        <v>66</v>
      </c>
      <c r="F104" s="40"/>
      <c r="G104" s="41">
        <f xml:space="preserve"> (G23-G22)*G40/100</f>
        <v>699.50810018026141</v>
      </c>
      <c r="H104" s="41"/>
      <c r="I104" s="104"/>
      <c r="J104" s="104"/>
      <c r="K104" s="104"/>
      <c r="L104" s="104"/>
      <c r="M104" s="104"/>
      <c r="N104" s="104"/>
      <c r="O104" s="104"/>
      <c r="P104" s="104"/>
      <c r="Q104" s="104"/>
      <c r="R104" s="104"/>
    </row>
    <row r="105" spans="1:42" x14ac:dyDescent="0.35">
      <c r="B105" s="27" t="s">
        <v>67</v>
      </c>
      <c r="F105" s="40"/>
      <c r="G105" s="19">
        <f>G104/G102</f>
        <v>0.28910831930539982</v>
      </c>
      <c r="H105" s="19"/>
      <c r="I105" s="95"/>
      <c r="J105" s="95"/>
      <c r="K105" s="95"/>
      <c r="L105" s="95"/>
      <c r="M105" s="95"/>
      <c r="N105" s="95"/>
      <c r="O105" s="95"/>
      <c r="P105" s="95"/>
      <c r="Q105" s="95"/>
      <c r="R105" s="95"/>
    </row>
  </sheetData>
  <mergeCells count="1">
    <mergeCell ref="J5:K6"/>
  </mergeCells>
  <dataValidations count="1">
    <dataValidation type="list" allowBlank="1" showInputMessage="1" showErrorMessage="1" sqref="G25" xr:uid="{1F1CF863-8920-4D4E-81BA-B34E895770F6}">
      <formula1>"Equalized,Barnard,Bridgewater,Killington,Plymouth,Pomfret,Reading,Woodstock"</formula1>
    </dataValidation>
  </dataValidations>
  <pageMargins left="0.7" right="0.7" top="0.75" bottom="0.75" header="0.3" footer="0.3"/>
  <pageSetup orientation="portrait" r:id="rId1"/>
  <ignoredErrors>
    <ignoredError sqref="E5" unlocked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5"/>
  <sheetViews>
    <sheetView topLeftCell="A10" workbookViewId="0">
      <selection activeCell="D10" sqref="D10"/>
    </sheetView>
  </sheetViews>
  <sheetFormatPr defaultRowHeight="14.5" x14ac:dyDescent="0.35"/>
  <cols>
    <col min="1" max="1" width="9.7265625" customWidth="1"/>
    <col min="2" max="2" width="12.453125" bestFit="1" customWidth="1"/>
    <col min="3" max="4" width="11" style="2" bestFit="1" customWidth="1"/>
    <col min="5" max="5" width="16.1796875" style="2" bestFit="1" customWidth="1"/>
    <col min="6" max="6" width="3.453125" customWidth="1"/>
    <col min="7" max="7" width="13" style="2" customWidth="1"/>
    <col min="8" max="8" width="3.7265625" customWidth="1"/>
    <col min="9" max="9" width="17.54296875" customWidth="1"/>
    <col min="10" max="10" width="11.7265625" style="5" customWidth="1"/>
    <col min="11" max="12" width="14.54296875" style="15" customWidth="1"/>
    <col min="13" max="13" width="9.1796875" style="5"/>
    <col min="17" max="17" width="15.26953125" style="2" bestFit="1" customWidth="1"/>
  </cols>
  <sheetData>
    <row r="1" spans="1:13" x14ac:dyDescent="0.35">
      <c r="A1" t="s">
        <v>39</v>
      </c>
      <c r="B1" s="10">
        <f>Summary!B11</f>
        <v>55000000</v>
      </c>
    </row>
    <row r="2" spans="1:13" x14ac:dyDescent="0.35">
      <c r="A2" t="s">
        <v>9</v>
      </c>
      <c r="B2">
        <v>30</v>
      </c>
      <c r="G2" s="73"/>
    </row>
    <row r="3" spans="1:13" x14ac:dyDescent="0.35">
      <c r="A3" t="s">
        <v>0</v>
      </c>
      <c r="B3" s="3">
        <v>0.04</v>
      </c>
      <c r="G3" s="73">
        <f>(749943+737568)/53166667</f>
        <v>2.7978263147471705E-2</v>
      </c>
      <c r="I3" s="2"/>
    </row>
    <row r="4" spans="1:13" x14ac:dyDescent="0.35">
      <c r="A4" t="s">
        <v>17</v>
      </c>
      <c r="C4"/>
      <c r="D4" s="5">
        <v>1.627</v>
      </c>
      <c r="E4" s="2" t="s">
        <v>18</v>
      </c>
      <c r="I4" s="3"/>
    </row>
    <row r="5" spans="1:13" x14ac:dyDescent="0.35">
      <c r="A5" s="9" t="s">
        <v>2</v>
      </c>
      <c r="B5" s="9"/>
      <c r="C5" s="9"/>
      <c r="D5" s="10">
        <v>14905614</v>
      </c>
      <c r="I5" s="3"/>
    </row>
    <row r="6" spans="1:13" x14ac:dyDescent="0.35">
      <c r="A6" s="9"/>
      <c r="B6" s="9"/>
      <c r="C6" s="9"/>
      <c r="D6" s="10"/>
      <c r="I6" s="3"/>
      <c r="K6" s="15" t="s">
        <v>15</v>
      </c>
      <c r="L6" s="15" t="s">
        <v>15</v>
      </c>
    </row>
    <row r="7" spans="1:13" x14ac:dyDescent="0.35">
      <c r="A7" s="11"/>
      <c r="B7" s="11"/>
      <c r="C7" s="12"/>
      <c r="D7" s="12"/>
      <c r="E7" s="12"/>
      <c r="F7" s="11"/>
      <c r="G7" s="394" t="s">
        <v>13</v>
      </c>
      <c r="H7" s="11"/>
      <c r="I7" s="396" t="s">
        <v>5</v>
      </c>
      <c r="J7" s="397" t="s">
        <v>16</v>
      </c>
      <c r="K7" s="16">
        <v>300000</v>
      </c>
      <c r="L7" s="16">
        <v>500000</v>
      </c>
    </row>
    <row r="8" spans="1:13" ht="15" thickBot="1" x14ac:dyDescent="0.4">
      <c r="A8" s="13" t="s">
        <v>3</v>
      </c>
      <c r="B8" s="13" t="s">
        <v>6</v>
      </c>
      <c r="C8" s="14" t="s">
        <v>1</v>
      </c>
      <c r="D8" s="14" t="s">
        <v>0</v>
      </c>
      <c r="E8" s="14" t="s">
        <v>12</v>
      </c>
      <c r="F8" s="13"/>
      <c r="G8" s="395"/>
      <c r="H8" s="13"/>
      <c r="I8" s="387"/>
      <c r="J8" s="398"/>
      <c r="K8" s="17" t="s">
        <v>4</v>
      </c>
      <c r="L8" s="17" t="s">
        <v>4</v>
      </c>
      <c r="M8" s="6"/>
    </row>
    <row r="9" spans="1:13" x14ac:dyDescent="0.35">
      <c r="E9" s="2">
        <f>+B1</f>
        <v>55000000</v>
      </c>
      <c r="M9" s="2">
        <f>+' Cost per Eq Pupil'!D15</f>
        <v>17904.444344633212</v>
      </c>
    </row>
    <row r="10" spans="1:13" x14ac:dyDescent="0.35">
      <c r="A10">
        <v>1</v>
      </c>
      <c r="B10" t="s">
        <v>7</v>
      </c>
      <c r="D10" s="2">
        <f>+'40 mil 30yrs_VT Bond Bank'!D10*('30 years'!B$1/'40 mil 30yrs_VT Bond Bank'!B$1)</f>
        <v>504128.625</v>
      </c>
      <c r="E10" s="2">
        <f>+E9-C10</f>
        <v>55000000</v>
      </c>
      <c r="I10" s="4"/>
    </row>
    <row r="11" spans="1:13" x14ac:dyDescent="0.35">
      <c r="B11" t="s">
        <v>8</v>
      </c>
      <c r="D11" s="2">
        <f>+'40 mil 30yrs_VT Bond Bank'!D11*('30 years'!B$1/'40 mil 30yrs_VT Bond Bank'!B$1)</f>
        <v>749942.875</v>
      </c>
      <c r="E11" s="2">
        <f t="shared" ref="E11:E70" si="0">+E10-C11</f>
        <v>55000000</v>
      </c>
      <c r="G11" s="2">
        <f>+D11+D10+C10+C11</f>
        <v>1254071.5</v>
      </c>
      <c r="I11" s="3">
        <f>+G11/D$5</f>
        <v>8.4134172533919097E-2</v>
      </c>
      <c r="J11" s="5">
        <f>+(D$4*(1+I11))-D$4</f>
        <v>0.13688629871268643</v>
      </c>
      <c r="K11" s="28">
        <f>+$J11*K$7/100</f>
        <v>410.65889613805928</v>
      </c>
      <c r="L11" s="28">
        <f>+$J11*L$7/100</f>
        <v>684.43149356343213</v>
      </c>
      <c r="M11" s="2">
        <f>+(G11+' Cost per Eq Pupil'!D$13)/' Cost per Eq Pupil'!D$11</f>
        <v>19312.611585838284</v>
      </c>
    </row>
    <row r="12" spans="1:13" x14ac:dyDescent="0.35">
      <c r="A12">
        <f>+A10+1</f>
        <v>2</v>
      </c>
      <c r="B12" t="s">
        <v>7</v>
      </c>
      <c r="C12" s="2">
        <f>+B$1/B$2</f>
        <v>1833333.3333333333</v>
      </c>
      <c r="D12" s="2">
        <f>+'40 mil 30yrs_VT Bond Bank'!D12*('30 years'!B$1/'40 mil 30yrs_VT Bond Bank'!B$1)</f>
        <v>749942.875</v>
      </c>
      <c r="E12" s="2">
        <f t="shared" si="0"/>
        <v>53166666.666666664</v>
      </c>
      <c r="I12" s="4"/>
    </row>
    <row r="13" spans="1:13" x14ac:dyDescent="0.35">
      <c r="B13" t="s">
        <v>8</v>
      </c>
      <c r="D13" s="2">
        <f>+'40 mil 30yrs_VT Bond Bank'!D13*('30 years'!B$1/'40 mil 30yrs_VT Bond Bank'!B$1)</f>
        <v>737567.875</v>
      </c>
      <c r="E13" s="2">
        <f t="shared" si="0"/>
        <v>53166666.666666664</v>
      </c>
      <c r="G13" s="2">
        <f>+D13+D12+C12+C13</f>
        <v>3320844.083333333</v>
      </c>
      <c r="I13" s="3">
        <f>+G13/D$5</f>
        <v>0.22279149878249449</v>
      </c>
      <c r="J13" s="5">
        <f>+(D$4*(1+I13))-D$4</f>
        <v>0.3624817685191184</v>
      </c>
      <c r="K13" s="28">
        <f>+$J13*K$7/100</f>
        <v>1087.4453055573551</v>
      </c>
      <c r="L13" s="28">
        <f>+$J13*L$7/100</f>
        <v>1812.4088425955918</v>
      </c>
      <c r="M13" s="2">
        <f>+(G13+' Cost per Eq Pupil'!D$13)/' Cost per Eq Pupil'!D$11</f>
        <v>21633.341661333001</v>
      </c>
    </row>
    <row r="14" spans="1:13" x14ac:dyDescent="0.35">
      <c r="A14">
        <f>+A12+1</f>
        <v>3</v>
      </c>
      <c r="B14" t="s">
        <v>7</v>
      </c>
      <c r="C14" s="2">
        <f>+B$1/B$2</f>
        <v>1833333.3333333333</v>
      </c>
      <c r="D14" s="2">
        <f>+'40 mil 30yrs_VT Bond Bank'!D14*('30 years'!B$1/'40 mil 30yrs_VT Bond Bank'!B$1)</f>
        <v>737567.875</v>
      </c>
      <c r="E14" s="2">
        <f t="shared" si="0"/>
        <v>51333333.333333328</v>
      </c>
      <c r="I14" s="4"/>
    </row>
    <row r="15" spans="1:13" x14ac:dyDescent="0.35">
      <c r="B15" t="s">
        <v>8</v>
      </c>
      <c r="D15" s="2">
        <f>+'40 mil 30yrs_VT Bond Bank'!D15*('30 years'!B$1/'40 mil 30yrs_VT Bond Bank'!B$1)</f>
        <v>724917.875</v>
      </c>
      <c r="E15" s="2">
        <f t="shared" si="0"/>
        <v>51333333.333333328</v>
      </c>
      <c r="G15" s="2">
        <f>+D15+D14+C14+C15</f>
        <v>3295819.083333333</v>
      </c>
      <c r="I15" s="3">
        <f>+G15/D$5</f>
        <v>0.22111260115372189</v>
      </c>
      <c r="J15" s="5">
        <f>+(D$4*(1+I15))-D$4</f>
        <v>0.35975020207710551</v>
      </c>
      <c r="K15" s="28">
        <f>+$J15*K$7/100</f>
        <v>1079.2506062313164</v>
      </c>
      <c r="L15" s="28">
        <f>+$J15*L$7/100</f>
        <v>1798.7510103855277</v>
      </c>
      <c r="M15" s="2">
        <f>+(G15+' Cost per Eq Pupil'!D$13)/' Cost per Eq Pupil'!D$11</f>
        <v>21605.241680421899</v>
      </c>
    </row>
    <row r="16" spans="1:13" x14ac:dyDescent="0.35">
      <c r="A16">
        <f>+A14+1</f>
        <v>4</v>
      </c>
      <c r="B16" t="s">
        <v>7</v>
      </c>
      <c r="C16" s="2">
        <f>+B$1/B$2</f>
        <v>1833333.3333333333</v>
      </c>
      <c r="D16" s="2">
        <f>+'40 mil 30yrs_VT Bond Bank'!D16*('30 years'!B$1/'40 mil 30yrs_VT Bond Bank'!B$1)</f>
        <v>724917.875</v>
      </c>
      <c r="E16" s="2">
        <f t="shared" si="0"/>
        <v>49499999.999999993</v>
      </c>
      <c r="I16" s="4"/>
    </row>
    <row r="17" spans="1:12" x14ac:dyDescent="0.35">
      <c r="B17" t="s">
        <v>8</v>
      </c>
      <c r="D17" s="2">
        <f>+'40 mil 30yrs_VT Bond Bank'!D17*('30 years'!B$1/'40 mil 30yrs_VT Bond Bank'!B$1)</f>
        <v>712023.125</v>
      </c>
      <c r="E17" s="2">
        <f t="shared" si="0"/>
        <v>49499999.999999993</v>
      </c>
      <c r="G17" s="2">
        <f>+D17+D16+C16+C17</f>
        <v>3270274.333333333</v>
      </c>
      <c r="I17" s="3">
        <f>+G17/D$5</f>
        <v>0.21939883411265937</v>
      </c>
      <c r="J17" s="5">
        <f>+(D$4*(1+I17))-D$4</f>
        <v>0.35696190310129672</v>
      </c>
      <c r="K17" s="28">
        <f>+$J17*K$7/100</f>
        <v>1070.8857093038903</v>
      </c>
      <c r="L17" s="28">
        <f>+$J17*L$7/100</f>
        <v>1784.8095155064836</v>
      </c>
    </row>
    <row r="18" spans="1:12" x14ac:dyDescent="0.35">
      <c r="A18">
        <f>+A16+1</f>
        <v>5</v>
      </c>
      <c r="B18" t="s">
        <v>7</v>
      </c>
      <c r="C18" s="2">
        <f>+B$1/B$2</f>
        <v>1833333.3333333333</v>
      </c>
      <c r="D18" s="2">
        <f>+'40 mil 30yrs_VT Bond Bank'!D18*('30 years'!B$1/'40 mil 30yrs_VT Bond Bank'!B$1)</f>
        <v>712023.125</v>
      </c>
      <c r="E18" s="2">
        <f t="shared" si="0"/>
        <v>47666666.666666657</v>
      </c>
      <c r="I18" s="4"/>
    </row>
    <row r="19" spans="1:12" x14ac:dyDescent="0.35">
      <c r="B19" t="s">
        <v>8</v>
      </c>
      <c r="D19" s="2">
        <f>+'40 mil 30yrs_VT Bond Bank'!D19*('30 years'!B$1/'40 mil 30yrs_VT Bond Bank'!B$1)</f>
        <v>698885</v>
      </c>
      <c r="E19" s="2">
        <f t="shared" si="0"/>
        <v>47666666.666666657</v>
      </c>
      <c r="G19" s="2">
        <f>+D19+D18+C18+C19</f>
        <v>3244241.458333333</v>
      </c>
      <c r="I19" s="3">
        <f>+G19/D$5</f>
        <v>0.21765231934312354</v>
      </c>
      <c r="J19" s="5">
        <f>+(D$4*(1+I19))-D$4</f>
        <v>0.35412032357126177</v>
      </c>
      <c r="K19" s="28">
        <f>+$J19*K$7/100</f>
        <v>1062.3609707137853</v>
      </c>
      <c r="L19" s="28">
        <f>+$J19*L$7/100</f>
        <v>1770.6016178563088</v>
      </c>
    </row>
    <row r="20" spans="1:12" x14ac:dyDescent="0.35">
      <c r="A20">
        <f>+A18+1</f>
        <v>6</v>
      </c>
      <c r="B20" t="s">
        <v>7</v>
      </c>
      <c r="C20" s="2">
        <f>+B$1/B$2</f>
        <v>1833333.3333333333</v>
      </c>
      <c r="D20" s="2">
        <f>+'40 mil 30yrs_VT Bond Bank'!D20*('30 years'!B$1/'40 mil 30yrs_VT Bond Bank'!B$1)</f>
        <v>698885</v>
      </c>
      <c r="E20" s="2">
        <f t="shared" si="0"/>
        <v>45833333.333333321</v>
      </c>
      <c r="I20" s="4"/>
    </row>
    <row r="21" spans="1:12" x14ac:dyDescent="0.35">
      <c r="B21" t="s">
        <v>8</v>
      </c>
      <c r="D21" s="2">
        <f>+'40 mil 30yrs_VT Bond Bank'!D21*('30 years'!B$1/'40 mil 30yrs_VT Bond Bank'!B$1)</f>
        <v>685500.75</v>
      </c>
      <c r="E21" s="2">
        <f t="shared" si="0"/>
        <v>45833333.333333321</v>
      </c>
      <c r="G21" s="2">
        <f>+D21+D20+C20+C21</f>
        <v>3217719.083333333</v>
      </c>
      <c r="I21" s="3">
        <f>+G21/D$5</f>
        <v>0.21587296459799193</v>
      </c>
      <c r="J21" s="5">
        <f>+(D$4*(1+I21))-D$4</f>
        <v>0.35122531340093288</v>
      </c>
      <c r="K21" s="28">
        <f>+$J21*K$7/100</f>
        <v>1053.6759402027988</v>
      </c>
      <c r="L21" s="28">
        <f>+$J21*L$7/100</f>
        <v>1756.1265670046644</v>
      </c>
    </row>
    <row r="22" spans="1:12" x14ac:dyDescent="0.35">
      <c r="A22">
        <f>+A20+1</f>
        <v>7</v>
      </c>
      <c r="B22" t="s">
        <v>7</v>
      </c>
      <c r="C22" s="2">
        <f>+B$1/B$2</f>
        <v>1833333.3333333333</v>
      </c>
      <c r="D22" s="2">
        <f>+'40 mil 30yrs_VT Bond Bank'!D22*('30 years'!B$1/'40 mil 30yrs_VT Bond Bank'!B$1)</f>
        <v>685500.75</v>
      </c>
      <c r="E22" s="2">
        <f t="shared" si="0"/>
        <v>43999999.999999985</v>
      </c>
      <c r="I22" s="4"/>
    </row>
    <row r="23" spans="1:12" x14ac:dyDescent="0.35">
      <c r="B23" t="s">
        <v>8</v>
      </c>
      <c r="D23" s="2">
        <f>+'40 mil 30yrs_VT Bond Bank'!D23*('30 years'!B$1/'40 mil 30yrs_VT Bond Bank'!B$1)</f>
        <v>671310.75</v>
      </c>
      <c r="E23" s="2">
        <f t="shared" si="0"/>
        <v>43999999.999999985</v>
      </c>
      <c r="G23" s="2">
        <f>+D23+D22+C22+C23</f>
        <v>3190144.833333333</v>
      </c>
      <c r="I23" s="3">
        <f>+G23/D$5</f>
        <v>0.21402304080417842</v>
      </c>
      <c r="J23" s="5">
        <f>+(D$4*(1+I23))-D$4</f>
        <v>0.34821548738839825</v>
      </c>
      <c r="K23" s="28">
        <f>+$J23*K$7/100</f>
        <v>1044.6464621651946</v>
      </c>
      <c r="L23" s="28">
        <f>+$J23*L$7/100</f>
        <v>1741.0774369419914</v>
      </c>
    </row>
    <row r="24" spans="1:12" x14ac:dyDescent="0.35">
      <c r="A24">
        <f>+A22+1</f>
        <v>8</v>
      </c>
      <c r="B24" t="s">
        <v>7</v>
      </c>
      <c r="C24" s="2">
        <f>+B$1/B$2</f>
        <v>1833333.3333333333</v>
      </c>
      <c r="D24" s="2">
        <f>+'40 mil 30yrs_VT Bond Bank'!D24*('30 years'!B$1/'40 mil 30yrs_VT Bond Bank'!B$1)</f>
        <v>671310.75</v>
      </c>
      <c r="E24" s="2">
        <f t="shared" si="0"/>
        <v>42166666.666666649</v>
      </c>
      <c r="I24" s="4"/>
    </row>
    <row r="25" spans="1:12" x14ac:dyDescent="0.35">
      <c r="B25" t="s">
        <v>8</v>
      </c>
      <c r="D25" s="2">
        <f>+'40 mil 30yrs_VT Bond Bank'!D25*('30 years'!B$1/'40 mil 30yrs_VT Bond Bank'!B$1)</f>
        <v>656315</v>
      </c>
      <c r="E25" s="2">
        <f t="shared" si="0"/>
        <v>42166666.666666649</v>
      </c>
      <c r="G25" s="2">
        <f>+D25+D24+C24+C25</f>
        <v>3160959.083333333</v>
      </c>
      <c r="I25" s="3">
        <f>+G25/D$5</f>
        <v>0.21206500338284173</v>
      </c>
      <c r="J25" s="5">
        <f>+(D$4*(1+I25))-D$4</f>
        <v>0.34502976050388345</v>
      </c>
      <c r="K25" s="28">
        <f>+$J25*K$7/100</f>
        <v>1035.0892815116504</v>
      </c>
      <c r="L25" s="28">
        <f>+$J25*L$7/100</f>
        <v>1725.1488025194174</v>
      </c>
    </row>
    <row r="26" spans="1:12" x14ac:dyDescent="0.35">
      <c r="A26">
        <f>+A24+1</f>
        <v>9</v>
      </c>
      <c r="B26" t="s">
        <v>7</v>
      </c>
      <c r="C26" s="2">
        <f>+B$1/B$2</f>
        <v>1833333.3333333333</v>
      </c>
      <c r="D26" s="2">
        <f>+'40 mil 30yrs_VT Bond Bank'!D26*('30 years'!B$1/'40 mil 30yrs_VT Bond Bank'!B$1)</f>
        <v>656315</v>
      </c>
      <c r="E26" s="2">
        <f t="shared" si="0"/>
        <v>40333333.333333313</v>
      </c>
      <c r="I26" s="4"/>
    </row>
    <row r="27" spans="1:12" x14ac:dyDescent="0.35">
      <c r="B27" t="s">
        <v>8</v>
      </c>
      <c r="D27" s="2">
        <f>+'40 mil 30yrs_VT Bond Bank'!D27*('30 years'!B$1/'40 mil 30yrs_VT Bond Bank'!B$1)</f>
        <v>640510.75</v>
      </c>
      <c r="E27" s="2">
        <f t="shared" si="0"/>
        <v>40333333.333333313</v>
      </c>
      <c r="G27" s="2">
        <f>+D27+D26+C26+C27</f>
        <v>3130159.083333333</v>
      </c>
      <c r="I27" s="3">
        <f>+G27/D$5</f>
        <v>0.20999866783973697</v>
      </c>
      <c r="J27" s="5">
        <f>+(D$4*(1+I27))-D$4</f>
        <v>0.34166783257525202</v>
      </c>
      <c r="K27" s="28">
        <f>+$J27*K$7/100</f>
        <v>1025.003497725756</v>
      </c>
      <c r="L27" s="28">
        <f>+$J27*L$7/100</f>
        <v>1708.3391628762599</v>
      </c>
    </row>
    <row r="28" spans="1:12" x14ac:dyDescent="0.35">
      <c r="A28">
        <f>+A26+1</f>
        <v>10</v>
      </c>
      <c r="B28" t="s">
        <v>7</v>
      </c>
      <c r="C28" s="2">
        <f>+B$1/B$2</f>
        <v>1833333.3333333333</v>
      </c>
      <c r="D28" s="2">
        <f>+'40 mil 30yrs_VT Bond Bank'!D28*('30 years'!B$1/'40 mil 30yrs_VT Bond Bank'!B$1)</f>
        <v>640510.75</v>
      </c>
      <c r="E28" s="2">
        <f t="shared" si="0"/>
        <v>38499999.999999978</v>
      </c>
      <c r="I28" s="4"/>
    </row>
    <row r="29" spans="1:12" x14ac:dyDescent="0.35">
      <c r="B29" t="s">
        <v>8</v>
      </c>
      <c r="D29" s="2">
        <f>+'40 mil 30yrs_VT Bond Bank'!D29*('30 years'!B$1/'40 mil 30yrs_VT Bond Bank'!B$1)</f>
        <v>623900.75</v>
      </c>
      <c r="E29" s="2">
        <f t="shared" si="0"/>
        <v>38499999.999999978</v>
      </c>
      <c r="G29" s="2">
        <f>+D29+D28+C28+C29</f>
        <v>3097744.833333333</v>
      </c>
      <c r="I29" s="3">
        <f>+G29/D$5</f>
        <v>0.20782403417486411</v>
      </c>
      <c r="J29" s="5">
        <f>+(D$4*(1+I29))-D$4</f>
        <v>0.33812970360250372</v>
      </c>
      <c r="K29" s="28">
        <f>+$J29*K$7/100</f>
        <v>1014.3891108075112</v>
      </c>
      <c r="L29" s="28">
        <f>+$J29*L$7/100</f>
        <v>1690.6485180125185</v>
      </c>
    </row>
    <row r="30" spans="1:12" x14ac:dyDescent="0.35">
      <c r="A30">
        <f>+A28+1</f>
        <v>11</v>
      </c>
      <c r="B30" t="s">
        <v>7</v>
      </c>
      <c r="C30" s="2">
        <f>+B$1/B$2</f>
        <v>1833333.3333333333</v>
      </c>
      <c r="D30" s="2">
        <f>+'40 mil 30yrs_VT Bond Bank'!D30*('30 years'!B$1/'40 mil 30yrs_VT Bond Bank'!B$1)</f>
        <v>623900.75</v>
      </c>
      <c r="E30" s="2">
        <f t="shared" si="0"/>
        <v>36666666.666666642</v>
      </c>
      <c r="I30" s="4"/>
    </row>
    <row r="31" spans="1:12" x14ac:dyDescent="0.35">
      <c r="B31" t="s">
        <v>8</v>
      </c>
      <c r="D31" s="2">
        <f>+'40 mil 30yrs_VT Bond Bank'!D31*('30 years'!B$1/'40 mil 30yrs_VT Bond Bank'!B$1)</f>
        <v>606485</v>
      </c>
      <c r="E31" s="2">
        <f t="shared" si="0"/>
        <v>36666666.666666642</v>
      </c>
      <c r="G31" s="2">
        <f>+D31+D30+C30+C31</f>
        <v>3063719.083333333</v>
      </c>
      <c r="I31" s="3">
        <f>+G31/D$5</f>
        <v>0.20554128688246812</v>
      </c>
      <c r="J31" s="5">
        <f>+(D$4*(1+I31))-D$4</f>
        <v>0.3344156737577757</v>
      </c>
      <c r="K31" s="28">
        <f>+$J31*K$7/100</f>
        <v>1003.2470212733272</v>
      </c>
      <c r="L31" s="28">
        <f>+$J31*L$7/100</f>
        <v>1672.0783687888784</v>
      </c>
    </row>
    <row r="32" spans="1:12" x14ac:dyDescent="0.35">
      <c r="A32">
        <f>+A30+1</f>
        <v>12</v>
      </c>
      <c r="B32" t="s">
        <v>7</v>
      </c>
      <c r="C32" s="2">
        <f>+B$1/B$2</f>
        <v>1833333.3333333333</v>
      </c>
      <c r="D32" s="2">
        <f>+'40 mil 30yrs_VT Bond Bank'!D32*('30 years'!B$1/'40 mil 30yrs_VT Bond Bank'!B$1)</f>
        <v>606485</v>
      </c>
      <c r="E32" s="2">
        <f t="shared" si="0"/>
        <v>34833333.333333306</v>
      </c>
      <c r="I32" s="4"/>
    </row>
    <row r="33" spans="1:12" x14ac:dyDescent="0.35">
      <c r="B33" t="s">
        <v>8</v>
      </c>
      <c r="D33" s="2">
        <f>+'40 mil 30yrs_VT Bond Bank'!D33*('30 years'!B$1/'40 mil 30yrs_VT Bond Bank'!B$1)</f>
        <v>586595.625</v>
      </c>
      <c r="E33" s="2">
        <f t="shared" si="0"/>
        <v>34833333.333333306</v>
      </c>
      <c r="G33" s="2">
        <f>+D33+D32+C32+C33</f>
        <v>3026413.958333333</v>
      </c>
      <c r="I33" s="3">
        <f>+G33/D$5</f>
        <v>0.20303853020300491</v>
      </c>
      <c r="J33" s="5">
        <f>+(D$4*(1+I33))-D$4</f>
        <v>0.33034368864028885</v>
      </c>
      <c r="K33" s="28">
        <f>+$J33*K$7/100</f>
        <v>991.03106592086658</v>
      </c>
      <c r="L33" s="28">
        <f>+$J33*L$7/100</f>
        <v>1651.7184432014442</v>
      </c>
    </row>
    <row r="34" spans="1:12" x14ac:dyDescent="0.35">
      <c r="A34">
        <f>+A32+1</f>
        <v>13</v>
      </c>
      <c r="B34" t="s">
        <v>7</v>
      </c>
      <c r="C34" s="2">
        <f>+B$1/B$2</f>
        <v>1833333.3333333333</v>
      </c>
      <c r="D34" s="2">
        <f>+'40 mil 30yrs_VT Bond Bank'!D34*('30 years'!B$1/'40 mil 30yrs_VT Bond Bank'!B$1)</f>
        <v>586595.625</v>
      </c>
      <c r="E34" s="2">
        <f t="shared" si="0"/>
        <v>32999999.999999974</v>
      </c>
      <c r="I34" s="4"/>
    </row>
    <row r="35" spans="1:12" x14ac:dyDescent="0.35">
      <c r="B35" t="s">
        <v>8</v>
      </c>
      <c r="D35" s="2">
        <f>+'40 mil 30yrs_VT Bond Bank'!D35*('30 years'!B$1/'40 mil 30yrs_VT Bond Bank'!B$1)</f>
        <v>564588.75</v>
      </c>
      <c r="E35" s="2">
        <f t="shared" si="0"/>
        <v>32999999.999999974</v>
      </c>
      <c r="G35" s="2">
        <f>+D35+D34+C34+C35</f>
        <v>2984517.708333333</v>
      </c>
      <c r="I35" s="3">
        <f>+G35/D$5</f>
        <v>0.20022776038164769</v>
      </c>
      <c r="J35" s="5">
        <f>+(D$4*(1+I35))-D$4</f>
        <v>0.32577056614094091</v>
      </c>
      <c r="K35" s="28">
        <f>+$J35*K$7/100</f>
        <v>977.3116984228227</v>
      </c>
      <c r="L35" s="28">
        <f>+$J35*L$7/100</f>
        <v>1628.8528307047047</v>
      </c>
    </row>
    <row r="36" spans="1:12" x14ac:dyDescent="0.35">
      <c r="A36">
        <f>+A34+1</f>
        <v>14</v>
      </c>
      <c r="B36" t="s">
        <v>7</v>
      </c>
      <c r="C36" s="2">
        <f>+B$1/B$2</f>
        <v>1833333.3333333333</v>
      </c>
      <c r="D36" s="2">
        <f>+'40 mil 30yrs_VT Bond Bank'!D36*('30 years'!B$1/'40 mil 30yrs_VT Bond Bank'!B$1)</f>
        <v>564588.75</v>
      </c>
      <c r="E36" s="2">
        <f t="shared" si="0"/>
        <v>31166666.666666642</v>
      </c>
      <c r="I36" s="4"/>
    </row>
    <row r="37" spans="1:12" x14ac:dyDescent="0.35">
      <c r="B37" t="s">
        <v>8</v>
      </c>
      <c r="D37" s="2">
        <f>+'40 mil 30yrs_VT Bond Bank'!D37*('30 years'!B$1/'40 mil 30yrs_VT Bond Bank'!B$1)</f>
        <v>540742.125</v>
      </c>
      <c r="E37" s="2">
        <f t="shared" si="0"/>
        <v>31166666.666666642</v>
      </c>
      <c r="G37" s="2">
        <f>+D37+D36+C36+C37</f>
        <v>2938664.208333333</v>
      </c>
      <c r="I37" s="3">
        <f>+G37/D$5</f>
        <v>0.19715150334185047</v>
      </c>
      <c r="J37" s="5">
        <f>+(D$4*(1+I37))-D$4</f>
        <v>0.32076549593719084</v>
      </c>
      <c r="K37" s="28">
        <f>+$J37*K$7/100</f>
        <v>962.29648781157243</v>
      </c>
      <c r="L37" s="28">
        <f>+$J37*L$7/100</f>
        <v>1603.8274796859541</v>
      </c>
    </row>
    <row r="38" spans="1:12" x14ac:dyDescent="0.35">
      <c r="A38">
        <f>+A36+1</f>
        <v>15</v>
      </c>
      <c r="B38" t="s">
        <v>7</v>
      </c>
      <c r="C38" s="2">
        <f>+B$1/B$2</f>
        <v>1833333.3333333333</v>
      </c>
      <c r="D38" s="2">
        <f>+'40 mil 30yrs_VT Bond Bank'!D38*('30 years'!B$1/'40 mil 30yrs_VT Bond Bank'!B$1)</f>
        <v>540742.125</v>
      </c>
      <c r="E38" s="2">
        <f t="shared" si="0"/>
        <v>29333333.33333331</v>
      </c>
      <c r="I38" s="4"/>
    </row>
    <row r="39" spans="1:12" x14ac:dyDescent="0.35">
      <c r="B39" t="s">
        <v>8</v>
      </c>
      <c r="D39" s="2">
        <f>+'40 mil 30yrs_VT Bond Bank'!D39*('30 years'!B$1/'40 mil 30yrs_VT Bond Bank'!B$1)</f>
        <v>515282.625</v>
      </c>
      <c r="E39" s="2">
        <f t="shared" si="0"/>
        <v>29333333.33333331</v>
      </c>
      <c r="G39" s="2">
        <f>+D39+D38+C38+C39</f>
        <v>2889358.083333333</v>
      </c>
      <c r="I39" s="3">
        <f>+G39/D$5</f>
        <v>0.1938436137775561</v>
      </c>
      <c r="J39" s="5">
        <f>+(D$4*(1+I39))-D$4</f>
        <v>0.31538355961608389</v>
      </c>
      <c r="K39" s="28">
        <f>+$J39*K$7/100</f>
        <v>946.15067884825169</v>
      </c>
      <c r="L39" s="28">
        <f>+$J39*L$7/100</f>
        <v>1576.9177980804193</v>
      </c>
    </row>
    <row r="40" spans="1:12" x14ac:dyDescent="0.35">
      <c r="A40">
        <f>+A38+1</f>
        <v>16</v>
      </c>
      <c r="B40" t="s">
        <v>7</v>
      </c>
      <c r="C40" s="2">
        <f>+B$1/B$2</f>
        <v>1833333.3333333333</v>
      </c>
      <c r="D40" s="2">
        <f>+'40 mil 30yrs_VT Bond Bank'!D40*('30 years'!B$1/'40 mil 30yrs_VT Bond Bank'!B$1)</f>
        <v>515282.625</v>
      </c>
      <c r="E40" s="2">
        <f t="shared" si="0"/>
        <v>27499999.999999978</v>
      </c>
      <c r="I40" s="4"/>
    </row>
    <row r="41" spans="1:12" x14ac:dyDescent="0.35">
      <c r="B41" t="s">
        <v>8</v>
      </c>
      <c r="D41" s="2">
        <f>+'40 mil 30yrs_VT Bond Bank'!D41*('30 years'!B$1/'40 mil 30yrs_VT Bond Bank'!B$1)</f>
        <v>488393.125</v>
      </c>
      <c r="E41" s="2">
        <f t="shared" si="0"/>
        <v>27499999.999999978</v>
      </c>
      <c r="G41" s="2">
        <f>+D41+D40+C40+C41</f>
        <v>2837009.083333333</v>
      </c>
      <c r="I41" s="3">
        <f>+G41/D$5</f>
        <v>0.19033158133125769</v>
      </c>
      <c r="J41" s="5">
        <f>+(D$4*(1+I41))-D$4</f>
        <v>0.30966948282595608</v>
      </c>
      <c r="K41" s="28">
        <f>+$J41*K$7/100</f>
        <v>929.00844847786823</v>
      </c>
      <c r="L41" s="28">
        <f>+$J41*L$7/100</f>
        <v>1548.3474141297804</v>
      </c>
    </row>
    <row r="42" spans="1:12" x14ac:dyDescent="0.35">
      <c r="A42">
        <f>+A40+1</f>
        <v>17</v>
      </c>
      <c r="B42" t="s">
        <v>7</v>
      </c>
      <c r="C42" s="2">
        <f>+B$1/B$2</f>
        <v>1833333.3333333333</v>
      </c>
      <c r="D42" s="2">
        <f>+'40 mil 30yrs_VT Bond Bank'!D42*('30 years'!B$1/'40 mil 30yrs_VT Bond Bank'!B$1)</f>
        <v>488393.125</v>
      </c>
      <c r="E42" s="2">
        <f t="shared" si="0"/>
        <v>25666666.666666646</v>
      </c>
      <c r="I42" s="4"/>
    </row>
    <row r="43" spans="1:12" x14ac:dyDescent="0.35">
      <c r="B43" t="s">
        <v>8</v>
      </c>
      <c r="D43" s="2">
        <f>+'40 mil 30yrs_VT Bond Bank'!D43*('30 years'!B$1/'40 mil 30yrs_VT Bond Bank'!B$1)</f>
        <v>460411.875</v>
      </c>
      <c r="E43" s="2">
        <f t="shared" si="0"/>
        <v>25666666.666666646</v>
      </c>
      <c r="G43" s="2">
        <f>+D43+D42+C42+C43</f>
        <v>2782138.333333333</v>
      </c>
      <c r="I43" s="3">
        <f>+G43/D$5</f>
        <v>0.18665036766236756</v>
      </c>
      <c r="J43" s="5">
        <f>+(D$4*(1+I43))-D$4</f>
        <v>0.30368014818667222</v>
      </c>
      <c r="K43" s="28">
        <f>+$J43*K$7/100</f>
        <v>911.04044456001657</v>
      </c>
      <c r="L43" s="28">
        <f>+$J43*L$7/100</f>
        <v>1518.400740933361</v>
      </c>
    </row>
    <row r="44" spans="1:12" x14ac:dyDescent="0.35">
      <c r="A44">
        <f>+A42+1</f>
        <v>18</v>
      </c>
      <c r="B44" t="s">
        <v>7</v>
      </c>
      <c r="C44" s="2">
        <f>+B$1/B$2</f>
        <v>1833333.3333333333</v>
      </c>
      <c r="D44" s="2">
        <f>+'40 mil 30yrs_VT Bond Bank'!D44*('30 years'!B$1/'40 mil 30yrs_VT Bond Bank'!B$1)</f>
        <v>460411.875</v>
      </c>
      <c r="E44" s="2">
        <f t="shared" si="0"/>
        <v>23833333.333333313</v>
      </c>
      <c r="I44" s="4"/>
    </row>
    <row r="45" spans="1:12" x14ac:dyDescent="0.35">
      <c r="B45" t="s">
        <v>8</v>
      </c>
      <c r="D45" s="2">
        <f>+'40 mil 30yrs_VT Bond Bank'!D45*('30 years'!B$1/'40 mil 30yrs_VT Bond Bank'!B$1)</f>
        <v>431453</v>
      </c>
      <c r="E45" s="2">
        <f t="shared" si="0"/>
        <v>23833333.333333313</v>
      </c>
      <c r="G45" s="2">
        <f>+D45+D44+C44+C45</f>
        <v>2725198.208333333</v>
      </c>
      <c r="I45" s="3">
        <f>+G45/D$5</f>
        <v>0.18283032207417507</v>
      </c>
      <c r="J45" s="5">
        <f>+(D$4*(1+I45))-D$4</f>
        <v>0.29746493401468288</v>
      </c>
      <c r="K45" s="28">
        <f>+$J45*K$7/100</f>
        <v>892.39480204404867</v>
      </c>
      <c r="L45" s="28">
        <f>+$J45*L$7/100</f>
        <v>1487.3246700734144</v>
      </c>
    </row>
    <row r="46" spans="1:12" x14ac:dyDescent="0.35">
      <c r="A46">
        <f>+A44+1</f>
        <v>19</v>
      </c>
      <c r="B46" t="s">
        <v>7</v>
      </c>
      <c r="C46" s="2">
        <f>+B$1/B$2</f>
        <v>1833333.3333333333</v>
      </c>
      <c r="D46" s="2">
        <f>+'40 mil 30yrs_VT Bond Bank'!D46*('30 years'!B$1/'40 mil 30yrs_VT Bond Bank'!B$1)</f>
        <v>431453</v>
      </c>
      <c r="E46" s="2">
        <f t="shared" si="0"/>
        <v>21999999.999999981</v>
      </c>
      <c r="I46" s="4"/>
    </row>
    <row r="47" spans="1:12" x14ac:dyDescent="0.35">
      <c r="B47" t="s">
        <v>8</v>
      </c>
      <c r="D47" s="2">
        <f>+'40 mil 30yrs_VT Bond Bank'!D47*('30 years'!B$1/'40 mil 30yrs_VT Bond Bank'!B$1)</f>
        <v>401611.375</v>
      </c>
      <c r="E47" s="2">
        <f t="shared" si="0"/>
        <v>21999999.999999981</v>
      </c>
      <c r="G47" s="2">
        <f>+D47+D46+C46+C47</f>
        <v>2666397.708333333</v>
      </c>
      <c r="I47" s="3">
        <f>+G47/D$5</f>
        <v>0.17888546612929418</v>
      </c>
      <c r="J47" s="5">
        <f>+(D$4*(1+I47))-D$4</f>
        <v>0.29104665339236169</v>
      </c>
      <c r="K47" s="28">
        <f>+$J47*K$7/100</f>
        <v>873.13996017708496</v>
      </c>
      <c r="L47" s="28">
        <f>+$J47*L$7/100</f>
        <v>1455.2332669618086</v>
      </c>
    </row>
    <row r="48" spans="1:12" x14ac:dyDescent="0.35">
      <c r="A48">
        <f>+A46+1</f>
        <v>20</v>
      </c>
      <c r="B48" t="s">
        <v>7</v>
      </c>
      <c r="C48" s="2">
        <f>+B$1/B$2</f>
        <v>1833333.3333333333</v>
      </c>
      <c r="D48" s="2">
        <f>+'40 mil 30yrs_VT Bond Bank'!D48*('30 years'!B$1/'40 mil 30yrs_VT Bond Bank'!B$1)</f>
        <v>401611.375</v>
      </c>
      <c r="E48" s="2">
        <f t="shared" si="0"/>
        <v>20166666.666666649</v>
      </c>
      <c r="I48" s="4"/>
    </row>
    <row r="49" spans="1:12" x14ac:dyDescent="0.35">
      <c r="B49" t="s">
        <v>8</v>
      </c>
      <c r="D49" s="2">
        <f>+'40 mil 30yrs_VT Bond Bank'!D49*('30 years'!B$1/'40 mil 30yrs_VT Bond Bank'!B$1)</f>
        <v>370966.75</v>
      </c>
      <c r="E49" s="2">
        <f t="shared" si="0"/>
        <v>20166666.666666649</v>
      </c>
      <c r="G49" s="2">
        <f>+D49+D48+C48+C49</f>
        <v>2605911.458333333</v>
      </c>
      <c r="I49" s="3">
        <f>+G49/D$5</f>
        <v>0.17482751521227727</v>
      </c>
      <c r="J49" s="5">
        <f>+(D$4*(1+I49))-D$4</f>
        <v>0.28444436725037514</v>
      </c>
      <c r="K49" s="28">
        <f>+$J49*K$7/100</f>
        <v>853.33310175112535</v>
      </c>
      <c r="L49" s="28">
        <f>+$J49*L$7/100</f>
        <v>1422.2218362518759</v>
      </c>
    </row>
    <row r="50" spans="1:12" x14ac:dyDescent="0.35">
      <c r="A50">
        <f>+A48+1</f>
        <v>21</v>
      </c>
      <c r="B50" t="s">
        <v>7</v>
      </c>
      <c r="C50" s="2">
        <f>+B$1/B$2</f>
        <v>1833333.3333333333</v>
      </c>
      <c r="D50" s="2">
        <f>+'40 mil 30yrs_VT Bond Bank'!D50*('30 years'!B$1/'40 mil 30yrs_VT Bond Bank'!B$1)</f>
        <v>370966.75</v>
      </c>
      <c r="E50" s="2">
        <f t="shared" si="0"/>
        <v>18333333.333333317</v>
      </c>
      <c r="I50" s="4"/>
    </row>
    <row r="51" spans="1:12" x14ac:dyDescent="0.35">
      <c r="B51" t="s">
        <v>8</v>
      </c>
      <c r="D51" s="2">
        <f>+'40 mil 30yrs_VT Bond Bank'!D51*('30 years'!B$1/'40 mil 30yrs_VT Bond Bank'!B$1)</f>
        <v>339589.25</v>
      </c>
      <c r="E51" s="2">
        <f t="shared" si="0"/>
        <v>18333333.333333317</v>
      </c>
      <c r="G51" s="2">
        <f>+D51+D50+C50+C51</f>
        <v>2543889.333333333</v>
      </c>
      <c r="I51" s="3">
        <f>+G51/D$5</f>
        <v>0.17066652425947251</v>
      </c>
      <c r="J51" s="5">
        <f>+(D$4*(1+I51))-D$4</f>
        <v>0.27767443497016164</v>
      </c>
      <c r="K51" s="28">
        <f>+$J51*K$7/100</f>
        <v>833.02330491048485</v>
      </c>
      <c r="L51" s="28">
        <f>+$J51*L$7/100</f>
        <v>1388.3721748508083</v>
      </c>
    </row>
    <row r="52" spans="1:12" x14ac:dyDescent="0.35">
      <c r="A52">
        <f>+A50+1</f>
        <v>22</v>
      </c>
      <c r="B52" t="s">
        <v>7</v>
      </c>
      <c r="C52" s="2">
        <f>+B$1/B$2</f>
        <v>1833333.3333333333</v>
      </c>
      <c r="D52" s="2">
        <f>+'40 mil 30yrs_VT Bond Bank'!D52*('30 years'!B$1/'40 mil 30yrs_VT Bond Bank'!B$1)</f>
        <v>339589.25</v>
      </c>
      <c r="E52" s="2">
        <f t="shared" si="0"/>
        <v>16499999.999999983</v>
      </c>
      <c r="I52" s="4"/>
    </row>
    <row r="53" spans="1:12" x14ac:dyDescent="0.35">
      <c r="B53" t="s">
        <v>8</v>
      </c>
      <c r="D53" s="2">
        <f>+'40 mil 30yrs_VT Bond Bank'!D53*('30 years'!B$1/'40 mil 30yrs_VT Bond Bank'!B$1)</f>
        <v>307565.5</v>
      </c>
      <c r="E53" s="2">
        <f t="shared" si="0"/>
        <v>16499999.999999983</v>
      </c>
      <c r="G53" s="2">
        <f>+D53+D52+C52+C53</f>
        <v>2480488.083333333</v>
      </c>
      <c r="I53" s="3">
        <f>+G53/D$5</f>
        <v>0.16641300944284032</v>
      </c>
      <c r="J53" s="5">
        <f>+(D$4*(1+I53))-D$4</f>
        <v>0.27075396636350102</v>
      </c>
      <c r="K53" s="28">
        <f>+$J53*K$7/100</f>
        <v>812.26189909050299</v>
      </c>
      <c r="L53" s="28">
        <f>+$J53*L$7/100</f>
        <v>1353.7698318175053</v>
      </c>
    </row>
    <row r="54" spans="1:12" x14ac:dyDescent="0.35">
      <c r="A54">
        <f>+A52+1</f>
        <v>23</v>
      </c>
      <c r="B54" t="s">
        <v>7</v>
      </c>
      <c r="C54" s="2">
        <f>+B$1/B$2</f>
        <v>1833333.3333333333</v>
      </c>
      <c r="D54" s="2">
        <f>+'40 mil 30yrs_VT Bond Bank'!D54*('30 years'!B$1/'40 mil 30yrs_VT Bond Bank'!B$1)</f>
        <v>307565.5</v>
      </c>
      <c r="E54" s="2">
        <f t="shared" si="0"/>
        <v>14666666.666666649</v>
      </c>
      <c r="I54" s="4"/>
    </row>
    <row r="55" spans="1:12" x14ac:dyDescent="0.35">
      <c r="B55" t="s">
        <v>8</v>
      </c>
      <c r="D55" s="2">
        <f>+'40 mil 30yrs_VT Bond Bank'!D55*('30 years'!B$1/'40 mil 30yrs_VT Bond Bank'!B$1)</f>
        <v>274945</v>
      </c>
      <c r="E55" s="2">
        <f t="shared" si="0"/>
        <v>14666666.666666649</v>
      </c>
      <c r="G55" s="2">
        <f>+D55+D54+C54+C55</f>
        <v>2415843.833333333</v>
      </c>
      <c r="I55" s="3">
        <f>+G55/D$5</f>
        <v>0.16207610322750429</v>
      </c>
      <c r="J55" s="5">
        <f>+(D$4*(1+I55))-D$4</f>
        <v>0.26369781995114927</v>
      </c>
      <c r="K55" s="28">
        <f>+$J55*K$7/100</f>
        <v>791.09345985344783</v>
      </c>
      <c r="L55" s="28">
        <f>+$J55*L$7/100</f>
        <v>1318.4890997557463</v>
      </c>
    </row>
    <row r="56" spans="1:12" x14ac:dyDescent="0.35">
      <c r="A56">
        <f>+A54+1</f>
        <v>24</v>
      </c>
      <c r="B56" t="s">
        <v>7</v>
      </c>
      <c r="C56" s="2">
        <f>+B$1/B$2</f>
        <v>1833333.3333333333</v>
      </c>
      <c r="D56" s="2">
        <f>+'40 mil 30yrs_VT Bond Bank'!D56*('30 years'!B$1/'40 mil 30yrs_VT Bond Bank'!B$1)</f>
        <v>274945</v>
      </c>
      <c r="E56" s="2">
        <f t="shared" si="0"/>
        <v>12833333.333333315</v>
      </c>
      <c r="I56" s="4"/>
    </row>
    <row r="57" spans="1:12" x14ac:dyDescent="0.35">
      <c r="B57" t="s">
        <v>8</v>
      </c>
      <c r="D57" s="2">
        <f>+'40 mil 30yrs_VT Bond Bank'!D57*('30 years'!B$1/'40 mil 30yrs_VT Bond Bank'!B$1)</f>
        <v>241771.75</v>
      </c>
      <c r="E57" s="2">
        <f t="shared" si="0"/>
        <v>12833333.333333315</v>
      </c>
      <c r="G57" s="2">
        <f>+D57+D56+C56+C57</f>
        <v>2350050.083333333</v>
      </c>
      <c r="I57" s="3">
        <f>+G57/D$5</f>
        <v>0.15766207841779165</v>
      </c>
      <c r="J57" s="5">
        <f>+(D$4*(1+I57))-D$4</f>
        <v>0.25651620158574695</v>
      </c>
      <c r="K57" s="28">
        <f>+$J57*K$7/100</f>
        <v>769.54860475724081</v>
      </c>
      <c r="L57" s="28">
        <f>+$J57*L$7/100</f>
        <v>1282.5810079287348</v>
      </c>
    </row>
    <row r="58" spans="1:12" x14ac:dyDescent="0.35">
      <c r="A58">
        <f>+A56+1</f>
        <v>25</v>
      </c>
      <c r="B58" t="s">
        <v>7</v>
      </c>
      <c r="C58" s="2">
        <f>+B$1/B$2</f>
        <v>1833333.3333333333</v>
      </c>
      <c r="D58" s="2">
        <f>+'40 mil 30yrs_VT Bond Bank'!D58*('30 years'!B$1/'40 mil 30yrs_VT Bond Bank'!B$1)</f>
        <v>241771.75</v>
      </c>
      <c r="E58" s="2">
        <f t="shared" si="0"/>
        <v>10999999.999999981</v>
      </c>
      <c r="I58" s="4"/>
    </row>
    <row r="59" spans="1:12" x14ac:dyDescent="0.35">
      <c r="B59" t="s">
        <v>8</v>
      </c>
      <c r="D59" s="2">
        <f>+'40 mil 30yrs_VT Bond Bank'!D59*('30 years'!B$1/'40 mil 30yrs_VT Bond Bank'!B$1)</f>
        <v>208085.625</v>
      </c>
      <c r="E59" s="2">
        <f t="shared" si="0"/>
        <v>10999999.999999981</v>
      </c>
      <c r="G59" s="2">
        <f>+D59+D58+C58+C59</f>
        <v>2283190.708333333</v>
      </c>
      <c r="I59" s="3">
        <f>+G59/D$5</f>
        <v>0.15317656208817249</v>
      </c>
      <c r="J59" s="5">
        <f>+(D$4*(1+I59))-D$4</f>
        <v>0.24921826651745649</v>
      </c>
      <c r="K59" s="28">
        <f>+$J59*K$7/100</f>
        <v>747.65479955236947</v>
      </c>
      <c r="L59" s="28">
        <f>+$J59*L$7/100</f>
        <v>1246.0913325872823</v>
      </c>
    </row>
    <row r="60" spans="1:12" x14ac:dyDescent="0.35">
      <c r="A60">
        <f>+A58+1</f>
        <v>26</v>
      </c>
      <c r="B60" t="s">
        <v>7</v>
      </c>
      <c r="C60" s="2">
        <f>+B$1/B$2</f>
        <v>1833333.3333333333</v>
      </c>
      <c r="D60" s="2">
        <f>+'40 mil 30yrs_VT Bond Bank'!D60*('30 years'!B$1/'40 mil 30yrs_VT Bond Bank'!B$1)</f>
        <v>208085.625</v>
      </c>
      <c r="E60" s="2">
        <f t="shared" si="0"/>
        <v>9166666.6666666474</v>
      </c>
      <c r="I60" s="4"/>
    </row>
    <row r="61" spans="1:12" x14ac:dyDescent="0.35">
      <c r="B61" t="s">
        <v>8</v>
      </c>
      <c r="D61" s="2">
        <f>+'40 mil 30yrs_VT Bond Bank'!D61*('30 years'!B$1/'40 mil 30yrs_VT Bond Bank'!B$1)</f>
        <v>174116.25</v>
      </c>
      <c r="E61" s="2">
        <f t="shared" si="0"/>
        <v>9166666.6666666474</v>
      </c>
      <c r="G61" s="2">
        <f>+D61+D60+C60+C61</f>
        <v>2215535.208333333</v>
      </c>
      <c r="I61" s="3">
        <f>+G61/D$5</f>
        <v>0.14863763467464897</v>
      </c>
      <c r="J61" s="5">
        <f>+(D$4*(1+I61))-D$4</f>
        <v>0.24183343161565385</v>
      </c>
      <c r="K61" s="28">
        <f>+$J61*K$7/100</f>
        <v>725.50029484696142</v>
      </c>
      <c r="L61" s="28">
        <f>+$J61*L$7/100</f>
        <v>1209.1671580782693</v>
      </c>
    </row>
    <row r="62" spans="1:12" x14ac:dyDescent="0.35">
      <c r="A62">
        <f>+A60+1</f>
        <v>27</v>
      </c>
      <c r="B62" t="s">
        <v>7</v>
      </c>
      <c r="C62" s="2">
        <f>+B$1/B$2</f>
        <v>1833333.3333333333</v>
      </c>
      <c r="D62" s="2">
        <f>+'40 mil 30yrs_VT Bond Bank'!D62*('30 years'!B$1/'40 mil 30yrs_VT Bond Bank'!B$1)</f>
        <v>174116.25</v>
      </c>
      <c r="E62" s="2">
        <f t="shared" si="0"/>
        <v>7333333.3333333144</v>
      </c>
      <c r="I62" s="4"/>
    </row>
    <row r="63" spans="1:12" x14ac:dyDescent="0.35">
      <c r="B63" t="s">
        <v>8</v>
      </c>
      <c r="D63" s="2">
        <f>+'40 mil 30yrs_VT Bond Bank'!D63*('30 years'!B$1/'40 mil 30yrs_VT Bond Bank'!B$1)</f>
        <v>139834.75</v>
      </c>
      <c r="E63" s="2">
        <f t="shared" si="0"/>
        <v>7333333.3333333144</v>
      </c>
      <c r="G63" s="2">
        <f>+D63+D62+C62+C63</f>
        <v>2147284.333333333</v>
      </c>
      <c r="I63" s="3">
        <f>+G63/D$5</f>
        <v>0.14405876425710024</v>
      </c>
      <c r="J63" s="5">
        <f>+(D$4*(1+I63))-D$4</f>
        <v>0.2343836094463021</v>
      </c>
      <c r="K63" s="28">
        <f>+$J63*K$7/100</f>
        <v>703.15082833890631</v>
      </c>
      <c r="L63" s="28">
        <f>+$J63*L$7/100</f>
        <v>1171.9180472315104</v>
      </c>
    </row>
    <row r="64" spans="1:12" x14ac:dyDescent="0.35">
      <c r="A64">
        <f>+A62+1</f>
        <v>28</v>
      </c>
      <c r="B64" t="s">
        <v>7</v>
      </c>
      <c r="C64" s="2">
        <f>+B$1/B$2</f>
        <v>1833333.3333333333</v>
      </c>
      <c r="D64" s="2">
        <f>+'40 mil 30yrs_VT Bond Bank'!D64*('30 years'!B$1/'40 mil 30yrs_VT Bond Bank'!B$1)</f>
        <v>139834.75</v>
      </c>
      <c r="E64" s="2">
        <f t="shared" si="0"/>
        <v>5499999.9999999814</v>
      </c>
      <c r="I64" s="4"/>
    </row>
    <row r="65" spans="1:12" x14ac:dyDescent="0.35">
      <c r="B65" t="s">
        <v>8</v>
      </c>
      <c r="D65" s="2">
        <f>+'40 mil 30yrs_VT Bond Bank'!D65*('30 years'!B$1/'40 mil 30yrs_VT Bond Bank'!B$1)</f>
        <v>105263.125</v>
      </c>
      <c r="E65" s="2">
        <f t="shared" si="0"/>
        <v>5499999.9999999814</v>
      </c>
      <c r="G65" s="2">
        <f>+D65+D64+C64+C65</f>
        <v>2078431.2083333333</v>
      </c>
      <c r="I65" s="3">
        <f>+G65/D$5</f>
        <v>0.13943948959991406</v>
      </c>
      <c r="J65" s="5">
        <f>+(D$4*(1+I65))-D$4</f>
        <v>0.22686804957906004</v>
      </c>
      <c r="K65" s="28">
        <f>+$J65*K$7/100</f>
        <v>680.60414873718003</v>
      </c>
      <c r="L65" s="28">
        <f>+$J65*L$7/100</f>
        <v>1134.3402478953001</v>
      </c>
    </row>
    <row r="66" spans="1:12" x14ac:dyDescent="0.35">
      <c r="A66">
        <f>+A64+1</f>
        <v>29</v>
      </c>
      <c r="B66" t="s">
        <v>7</v>
      </c>
      <c r="C66" s="2">
        <f>+B$1/B$2</f>
        <v>1833333.3333333333</v>
      </c>
      <c r="D66" s="2">
        <f>+'40 mil 30yrs_VT Bond Bank'!D66*('30 years'!B$1/'40 mil 30yrs_VT Bond Bank'!B$1)</f>
        <v>105263.125</v>
      </c>
      <c r="E66" s="2">
        <f t="shared" si="0"/>
        <v>3666666.6666666484</v>
      </c>
      <c r="I66" s="4"/>
    </row>
    <row r="67" spans="1:12" x14ac:dyDescent="0.35">
      <c r="B67" t="s">
        <v>8</v>
      </c>
      <c r="D67" s="2">
        <f>+'40 mil 30yrs_VT Bond Bank'!D67*('30 years'!B$1/'40 mil 30yrs_VT Bond Bank'!B$1)</f>
        <v>70422</v>
      </c>
      <c r="E67" s="2">
        <f t="shared" si="0"/>
        <v>3666666.6666666484</v>
      </c>
      <c r="G67" s="2">
        <f>+D67+D66+C66+C67</f>
        <v>2009018.4583333333</v>
      </c>
      <c r="I67" s="3">
        <f>+G67/D$5</f>
        <v>0.13478267036388661</v>
      </c>
      <c r="J67" s="5">
        <f>+(D$4*(1+I67))-D$4</f>
        <v>0.21929140468204356</v>
      </c>
      <c r="K67" s="28">
        <f>+$J67*K$7/100</f>
        <v>657.87421404613065</v>
      </c>
      <c r="L67" s="28">
        <f>+$J67*L$7/100</f>
        <v>1096.4570234102177</v>
      </c>
    </row>
    <row r="68" spans="1:12" x14ac:dyDescent="0.35">
      <c r="A68">
        <f>+A66+1</f>
        <v>30</v>
      </c>
      <c r="B68" t="s">
        <v>7</v>
      </c>
      <c r="C68" s="2">
        <f>+B$1/B$2</f>
        <v>1833333.3333333333</v>
      </c>
      <c r="D68" s="2">
        <f>+'40 mil 30yrs_VT Bond Bank'!D68*('30 years'!B$1/'40 mil 30yrs_VT Bond Bank'!B$1)</f>
        <v>70422</v>
      </c>
      <c r="E68" s="2">
        <f t="shared" si="0"/>
        <v>1833333.3333333151</v>
      </c>
      <c r="I68" s="4"/>
    </row>
    <row r="69" spans="1:12" x14ac:dyDescent="0.35">
      <c r="B69" t="s">
        <v>8</v>
      </c>
      <c r="D69" s="2">
        <f>+'40 mil 30yrs_VT Bond Bank'!D69*('30 years'!B$1/'40 mil 30yrs_VT Bond Bank'!B$1)</f>
        <v>35329.25</v>
      </c>
      <c r="E69" s="2">
        <f t="shared" si="0"/>
        <v>1833333.3333333151</v>
      </c>
      <c r="G69" s="2">
        <f>+D69+D68+C68+C69</f>
        <v>1939084.5833333333</v>
      </c>
      <c r="I69" s="3">
        <f>+G69/D$5</f>
        <v>0.1300908894684468</v>
      </c>
      <c r="J69" s="5">
        <f>+(D$4*(1+I69))-D$4</f>
        <v>0.21165787716516271</v>
      </c>
      <c r="K69" s="28">
        <f>+$J69*K$7/100</f>
        <v>634.97363149548812</v>
      </c>
      <c r="L69" s="28">
        <f>+$J69*L$7/100</f>
        <v>1058.2893858258135</v>
      </c>
    </row>
    <row r="70" spans="1:12" x14ac:dyDescent="0.35">
      <c r="A70">
        <f>+A68+1</f>
        <v>31</v>
      </c>
      <c r="B70" t="s">
        <v>7</v>
      </c>
      <c r="C70" s="2">
        <f>+B$1/B$2</f>
        <v>1833333.3333333333</v>
      </c>
      <c r="D70" s="2">
        <f>+'40 mil 30yrs_VT Bond Bank'!D70*('30 years'!B$1/'40 mil 30yrs_VT Bond Bank'!B$1)</f>
        <v>35329.25</v>
      </c>
      <c r="E70" s="2">
        <f t="shared" si="0"/>
        <v>-1.8160790205001831E-8</v>
      </c>
      <c r="I70" s="4"/>
    </row>
    <row r="71" spans="1:12" x14ac:dyDescent="0.35">
      <c r="B71" t="s">
        <v>8</v>
      </c>
      <c r="G71" s="2">
        <f>+D71+D70+C70+C71</f>
        <v>1868662.5833333333</v>
      </c>
      <c r="I71" s="3">
        <f>+G71/D$5</f>
        <v>0.1253663608445337</v>
      </c>
      <c r="J71" s="5">
        <f>+(D$4*(1+I71))-D$4</f>
        <v>0.20397106909405638</v>
      </c>
      <c r="K71" s="28">
        <f>+$J71*K$7/100</f>
        <v>611.9132072821692</v>
      </c>
      <c r="L71" s="28">
        <f>+$J71*L$7/100</f>
        <v>1019.8553454702819</v>
      </c>
    </row>
    <row r="72" spans="1:12" x14ac:dyDescent="0.35">
      <c r="I72" s="4"/>
    </row>
    <row r="73" spans="1:12" x14ac:dyDescent="0.35">
      <c r="B73" t="s">
        <v>11</v>
      </c>
      <c r="C73" s="2">
        <f>SUM(C10:C72)</f>
        <v>55000000.000000022</v>
      </c>
      <c r="D73" s="2">
        <f>SUM(D10:D72)</f>
        <v>28032783.625</v>
      </c>
      <c r="G73" s="2">
        <f>SUM(G10:G72)</f>
        <v>83032783.624999985</v>
      </c>
      <c r="I73" s="3"/>
      <c r="K73" s="29">
        <f>SUM(K11:K71)</f>
        <v>27189.957882555191</v>
      </c>
      <c r="L73" s="29">
        <f>SUM(L11:L71)</f>
        <v>45316.596470925309</v>
      </c>
    </row>
    <row r="74" spans="1:12" x14ac:dyDescent="0.35">
      <c r="I74" s="4"/>
    </row>
    <row r="75" spans="1:12" x14ac:dyDescent="0.35">
      <c r="D75" s="2">
        <f>+(D73/'40 mil 30yrs_VT Bond Bank'!D73)-('30 years'!B1/'40 mil 30yrs_VT Bond Bank'!B1)</f>
        <v>0</v>
      </c>
      <c r="I75" s="3"/>
    </row>
  </sheetData>
  <mergeCells count="3">
    <mergeCell ref="G7:G8"/>
    <mergeCell ref="I7:I8"/>
    <mergeCell ref="J7:J8"/>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5"/>
  <sheetViews>
    <sheetView workbookViewId="0">
      <selection activeCell="E19" sqref="E19"/>
    </sheetView>
  </sheetViews>
  <sheetFormatPr defaultRowHeight="14.5" x14ac:dyDescent="0.35"/>
  <cols>
    <col min="1" max="1" width="11.7265625" customWidth="1"/>
    <col min="2" max="2" width="14.26953125" bestFit="1" customWidth="1"/>
    <col min="3" max="3" width="13.26953125" style="2" bestFit="1" customWidth="1"/>
    <col min="4" max="4" width="12.1796875" style="2" bestFit="1" customWidth="1"/>
    <col min="5" max="5" width="18.26953125" style="2" customWidth="1"/>
    <col min="7" max="7" width="13.26953125" style="2" bestFit="1" customWidth="1"/>
    <col min="9" max="9" width="17.54296875" customWidth="1"/>
    <col min="10" max="10" width="13" style="5" customWidth="1"/>
    <col min="11" max="11" width="14.54296875" style="5" customWidth="1"/>
    <col min="12" max="12" width="14.453125" style="5" customWidth="1"/>
    <col min="15" max="15" width="9.26953125" customWidth="1"/>
    <col min="16" max="16" width="9.26953125" style="2" customWidth="1"/>
  </cols>
  <sheetData>
    <row r="1" spans="1:12" x14ac:dyDescent="0.35">
      <c r="A1" t="s">
        <v>10</v>
      </c>
      <c r="B1" s="2">
        <v>40000000</v>
      </c>
    </row>
    <row r="2" spans="1:12" x14ac:dyDescent="0.35">
      <c r="A2" t="s">
        <v>9</v>
      </c>
      <c r="B2">
        <v>30</v>
      </c>
    </row>
    <row r="3" spans="1:12" x14ac:dyDescent="0.35">
      <c r="A3" t="s">
        <v>0</v>
      </c>
      <c r="B3" s="3">
        <v>3.2199999999999999E-2</v>
      </c>
      <c r="I3" s="2"/>
    </row>
    <row r="4" spans="1:12" x14ac:dyDescent="0.35">
      <c r="A4" t="s">
        <v>17</v>
      </c>
      <c r="C4"/>
      <c r="D4" s="5">
        <v>1.625</v>
      </c>
      <c r="E4" s="2" t="s">
        <v>18</v>
      </c>
      <c r="I4" s="3"/>
      <c r="K4" s="7"/>
    </row>
    <row r="5" spans="1:12" x14ac:dyDescent="0.35">
      <c r="A5" s="9" t="s">
        <v>2</v>
      </c>
      <c r="B5" s="9"/>
      <c r="C5" s="9"/>
      <c r="D5" s="10">
        <v>14905614</v>
      </c>
      <c r="I5" s="3"/>
    </row>
    <row r="6" spans="1:12" x14ac:dyDescent="0.35">
      <c r="A6" s="9"/>
      <c r="B6" s="9"/>
      <c r="C6" s="9"/>
      <c r="D6" s="10"/>
      <c r="I6" s="3"/>
      <c r="K6" s="15" t="s">
        <v>15</v>
      </c>
      <c r="L6" s="397" t="s">
        <v>29</v>
      </c>
    </row>
    <row r="7" spans="1:12" x14ac:dyDescent="0.35">
      <c r="A7" s="11"/>
      <c r="B7" s="11"/>
      <c r="C7" s="12"/>
      <c r="D7" s="12"/>
      <c r="E7" s="12"/>
      <c r="F7" s="11"/>
      <c r="G7" s="394" t="s">
        <v>13</v>
      </c>
      <c r="H7" s="11"/>
      <c r="I7" s="396" t="s">
        <v>5</v>
      </c>
      <c r="J7" s="397" t="s">
        <v>16</v>
      </c>
      <c r="K7" s="16">
        <v>300000</v>
      </c>
      <c r="L7" s="397"/>
    </row>
    <row r="8" spans="1:12" ht="15" thickBot="1" x14ac:dyDescent="0.4">
      <c r="A8" s="13" t="s">
        <v>3</v>
      </c>
      <c r="B8" s="13" t="s">
        <v>6</v>
      </c>
      <c r="C8" s="14" t="s">
        <v>1</v>
      </c>
      <c r="D8" s="14" t="s">
        <v>0</v>
      </c>
      <c r="E8" s="14" t="s">
        <v>12</v>
      </c>
      <c r="F8" s="13"/>
      <c r="G8" s="395"/>
      <c r="H8" s="13"/>
      <c r="I8" s="387"/>
      <c r="J8" s="398"/>
      <c r="K8" s="17" t="s">
        <v>4</v>
      </c>
      <c r="L8" s="398"/>
    </row>
    <row r="9" spans="1:12" x14ac:dyDescent="0.35">
      <c r="E9" s="2">
        <f>+B1</f>
        <v>40000000</v>
      </c>
      <c r="L9" s="2">
        <f>+' Cost per Eq Pupil'!D15</f>
        <v>17904.444344633212</v>
      </c>
    </row>
    <row r="10" spans="1:12" x14ac:dyDescent="0.35">
      <c r="A10">
        <v>1</v>
      </c>
      <c r="B10" t="s">
        <v>7</v>
      </c>
      <c r="D10" s="2">
        <v>366639</v>
      </c>
      <c r="E10" s="2">
        <f>+E9-C10</f>
        <v>40000000</v>
      </c>
      <c r="I10" s="4"/>
    </row>
    <row r="11" spans="1:12" x14ac:dyDescent="0.35">
      <c r="B11" t="s">
        <v>8</v>
      </c>
      <c r="D11" s="2">
        <v>545413</v>
      </c>
      <c r="E11" s="2">
        <f t="shared" ref="E11:E70" si="0">+E10-C11</f>
        <v>40000000</v>
      </c>
      <c r="G11" s="2">
        <f>+D11+D10+C10+C11</f>
        <v>912052</v>
      </c>
      <c r="I11" s="3">
        <f>+G11/D$5</f>
        <v>6.1188489115577525E-2</v>
      </c>
      <c r="J11" s="5">
        <f>+(D$4*(1+I11))-D$4</f>
        <v>9.9431294812813542E-2</v>
      </c>
      <c r="K11" s="1">
        <f>+J11*K$7/100</f>
        <v>298.29388443844061</v>
      </c>
      <c r="L11" s="2">
        <f>+(G11+' Cost per Eq Pupil'!D$13)/' Cost per Eq Pupil'!D$11</f>
        <v>18928.565974600537</v>
      </c>
    </row>
    <row r="12" spans="1:12" x14ac:dyDescent="0.35">
      <c r="A12">
        <f>+A10+1</f>
        <v>2</v>
      </c>
      <c r="B12" t="s">
        <v>7</v>
      </c>
      <c r="C12" s="2">
        <f>+B$1/B$2</f>
        <v>1333333.3333333333</v>
      </c>
      <c r="D12" s="2">
        <f>+D11</f>
        <v>545413</v>
      </c>
      <c r="E12" s="2">
        <f t="shared" si="0"/>
        <v>38666666.666666664</v>
      </c>
      <c r="I12" s="4"/>
    </row>
    <row r="13" spans="1:12" x14ac:dyDescent="0.35">
      <c r="B13" t="s">
        <v>8</v>
      </c>
      <c r="D13" s="2">
        <v>536413</v>
      </c>
      <c r="E13" s="2">
        <f t="shared" si="0"/>
        <v>38666666.666666664</v>
      </c>
      <c r="G13" s="2">
        <f>+D13+D12+C12+C13</f>
        <v>2415159.333333333</v>
      </c>
      <c r="I13" s="3">
        <f>+G13/D$5</f>
        <v>0.16203018093272326</v>
      </c>
      <c r="J13" s="5">
        <f>+(D$4*(1+I13))-D$4</f>
        <v>0.26329904401567505</v>
      </c>
      <c r="K13" s="1">
        <f>+J13*K$7/100</f>
        <v>789.89713204702525</v>
      </c>
      <c r="L13" s="2">
        <f>+(G13+' Cost per Eq Pupil'!D$13)/' Cost per Eq Pupil'!D$11</f>
        <v>20616.369665869421</v>
      </c>
    </row>
    <row r="14" spans="1:12" x14ac:dyDescent="0.35">
      <c r="A14">
        <f>+A12+1</f>
        <v>3</v>
      </c>
      <c r="B14" t="s">
        <v>7</v>
      </c>
      <c r="C14" s="2">
        <f>+B$1/B$2</f>
        <v>1333333.3333333333</v>
      </c>
      <c r="D14" s="2">
        <f>+D13</f>
        <v>536413</v>
      </c>
      <c r="E14" s="2">
        <f t="shared" si="0"/>
        <v>37333333.333333328</v>
      </c>
      <c r="I14" s="4"/>
    </row>
    <row r="15" spans="1:12" x14ac:dyDescent="0.35">
      <c r="B15" t="s">
        <v>8</v>
      </c>
      <c r="D15" s="2">
        <v>527213</v>
      </c>
      <c r="E15" s="2">
        <f t="shared" si="0"/>
        <v>37333333.333333328</v>
      </c>
      <c r="G15" s="2">
        <f>+D15+D14+C14+C15</f>
        <v>2396959.333333333</v>
      </c>
      <c r="I15" s="3">
        <f>+G15/D$5</f>
        <v>0.16080916447543409</v>
      </c>
      <c r="J15" s="5">
        <f>+(D$4*(1+I15))-D$4</f>
        <v>0.26131489227258053</v>
      </c>
      <c r="K15" s="1">
        <f>+J15*K$7/100</f>
        <v>783.94467681774154</v>
      </c>
      <c r="L15" s="2">
        <f>+(G15+' Cost per Eq Pupil'!D$13)/' Cost per Eq Pupil'!D$11</f>
        <v>20595.933316115894</v>
      </c>
    </row>
    <row r="16" spans="1:12" x14ac:dyDescent="0.35">
      <c r="A16">
        <f>+A14+1</f>
        <v>4</v>
      </c>
      <c r="B16" t="s">
        <v>7</v>
      </c>
      <c r="C16" s="2">
        <f>+B$1/B$2</f>
        <v>1333333.3333333333</v>
      </c>
      <c r="D16" s="2">
        <f>+D15</f>
        <v>527213</v>
      </c>
      <c r="E16" s="2">
        <f t="shared" si="0"/>
        <v>35999999.999999993</v>
      </c>
      <c r="I16" s="4"/>
    </row>
    <row r="17" spans="1:11" x14ac:dyDescent="0.35">
      <c r="B17" t="s">
        <v>8</v>
      </c>
      <c r="D17" s="2">
        <v>517835</v>
      </c>
      <c r="E17" s="2">
        <f t="shared" si="0"/>
        <v>35999999.999999993</v>
      </c>
      <c r="G17" s="2">
        <f>+D17+D16+C16+C17</f>
        <v>2378381.333333333</v>
      </c>
      <c r="I17" s="3">
        <f>+G17/D$5</f>
        <v>0.15956278844557045</v>
      </c>
      <c r="J17" s="5">
        <f>+(D$4*(1+I17))-D$4</f>
        <v>0.25928953122405174</v>
      </c>
      <c r="K17" s="1">
        <f>+J17*K$7/100</f>
        <v>777.86859367215527</v>
      </c>
    </row>
    <row r="18" spans="1:11" x14ac:dyDescent="0.35">
      <c r="A18">
        <f>+A16+1</f>
        <v>5</v>
      </c>
      <c r="B18" t="s">
        <v>7</v>
      </c>
      <c r="C18" s="2">
        <f>+B$1/B$2</f>
        <v>1333333.3333333333</v>
      </c>
      <c r="D18" s="2">
        <f>+D17</f>
        <v>517835</v>
      </c>
      <c r="E18" s="2">
        <f t="shared" si="0"/>
        <v>34666666.666666657</v>
      </c>
      <c r="I18" s="4"/>
    </row>
    <row r="19" spans="1:11" x14ac:dyDescent="0.35">
      <c r="B19" t="s">
        <v>8</v>
      </c>
      <c r="D19" s="2">
        <v>508280</v>
      </c>
      <c r="E19" s="2">
        <f t="shared" si="0"/>
        <v>34666666.666666657</v>
      </c>
      <c r="G19" s="2">
        <f>+D19+D18+C18+C19</f>
        <v>2359448.333333333</v>
      </c>
      <c r="I19" s="3">
        <f>+G19/D$5</f>
        <v>0.15829259588590802</v>
      </c>
      <c r="J19" s="5">
        <f>+(D$4*(1+I19))-D$4</f>
        <v>0.25722546831460047</v>
      </c>
      <c r="K19" s="1">
        <f>+J19*K$7/100</f>
        <v>771.67640494380146</v>
      </c>
    </row>
    <row r="20" spans="1:11" x14ac:dyDescent="0.35">
      <c r="A20">
        <f>+A18+1</f>
        <v>6</v>
      </c>
      <c r="B20" t="s">
        <v>7</v>
      </c>
      <c r="C20" s="2">
        <f>+B$1/B$2</f>
        <v>1333333.3333333333</v>
      </c>
      <c r="D20" s="2">
        <f>+D19</f>
        <v>508280</v>
      </c>
      <c r="E20" s="2">
        <f t="shared" si="0"/>
        <v>33333333.333333325</v>
      </c>
      <c r="I20" s="4"/>
    </row>
    <row r="21" spans="1:11" x14ac:dyDescent="0.35">
      <c r="B21" t="s">
        <v>8</v>
      </c>
      <c r="D21" s="2">
        <v>498546</v>
      </c>
      <c r="E21" s="2">
        <f t="shared" si="0"/>
        <v>33333333.333333325</v>
      </c>
      <c r="G21" s="2">
        <f>+D21+D20+C20+C21</f>
        <v>2340159.333333333</v>
      </c>
      <c r="I21" s="3">
        <f>+G21/D$5</f>
        <v>0.15699851970763049</v>
      </c>
      <c r="J21" s="5">
        <f>+(D$4*(1+I21))-D$4</f>
        <v>0.2551225945248996</v>
      </c>
      <c r="K21" s="1">
        <f>+J21*K$7/100</f>
        <v>765.36778357469882</v>
      </c>
    </row>
    <row r="22" spans="1:11" x14ac:dyDescent="0.35">
      <c r="A22">
        <f>+A20+1</f>
        <v>7</v>
      </c>
      <c r="B22" t="s">
        <v>7</v>
      </c>
      <c r="C22" s="2">
        <f>+B$1/B$2</f>
        <v>1333333.3333333333</v>
      </c>
      <c r="D22" s="2">
        <f>+D21</f>
        <v>498546</v>
      </c>
      <c r="E22" s="2">
        <f t="shared" si="0"/>
        <v>31999999.999999993</v>
      </c>
      <c r="I22" s="4"/>
    </row>
    <row r="23" spans="1:11" x14ac:dyDescent="0.35">
      <c r="B23" t="s">
        <v>8</v>
      </c>
      <c r="D23" s="2">
        <v>488226</v>
      </c>
      <c r="E23" s="2">
        <f t="shared" si="0"/>
        <v>31999999.999999993</v>
      </c>
      <c r="G23" s="2">
        <f>+D23+D22+C22+C23</f>
        <v>2320105.333333333</v>
      </c>
      <c r="I23" s="3">
        <f>+G23/D$5</f>
        <v>0.15565312058485703</v>
      </c>
      <c r="J23" s="5">
        <f>+(D$4*(1+I23))-D$4</f>
        <v>0.25293632095039276</v>
      </c>
      <c r="K23" s="1">
        <f>+J23*K$7/100</f>
        <v>758.80896285117819</v>
      </c>
    </row>
    <row r="24" spans="1:11" x14ac:dyDescent="0.35">
      <c r="A24">
        <f>+A22+1</f>
        <v>8</v>
      </c>
      <c r="B24" t="s">
        <v>7</v>
      </c>
      <c r="C24" s="2">
        <f>+B$1/B$2</f>
        <v>1333333.3333333333</v>
      </c>
      <c r="D24" s="2">
        <f>+D23</f>
        <v>488226</v>
      </c>
      <c r="E24" s="2">
        <f t="shared" si="0"/>
        <v>30666666.66666666</v>
      </c>
      <c r="I24" s="4"/>
    </row>
    <row r="25" spans="1:11" x14ac:dyDescent="0.35">
      <c r="B25" t="s">
        <v>8</v>
      </c>
      <c r="D25" s="2">
        <v>477320</v>
      </c>
      <c r="E25" s="2">
        <f t="shared" si="0"/>
        <v>30666666.66666666</v>
      </c>
      <c r="G25" s="2">
        <f>+D25+D24+C24+C25</f>
        <v>2298879.333333333</v>
      </c>
      <c r="I25" s="3">
        <f>+G25/D$5</f>
        <v>0.15422909336933943</v>
      </c>
      <c r="J25" s="5">
        <f>+(D$4*(1+I25))-D$4</f>
        <v>0.25062227672517645</v>
      </c>
      <c r="K25" s="1">
        <f>+J25*K$7/100</f>
        <v>751.86683017552934</v>
      </c>
    </row>
    <row r="26" spans="1:11" x14ac:dyDescent="0.35">
      <c r="A26">
        <f>+A24+1</f>
        <v>9</v>
      </c>
      <c r="B26" t="s">
        <v>7</v>
      </c>
      <c r="C26" s="2">
        <f>+B$1/B$2</f>
        <v>1333333.3333333333</v>
      </c>
      <c r="D26" s="2">
        <f>+D25</f>
        <v>477320</v>
      </c>
      <c r="E26" s="2">
        <f t="shared" si="0"/>
        <v>29333333.333333328</v>
      </c>
      <c r="I26" s="4"/>
    </row>
    <row r="27" spans="1:11" x14ac:dyDescent="0.35">
      <c r="B27" t="s">
        <v>8</v>
      </c>
      <c r="D27" s="2">
        <v>465826</v>
      </c>
      <c r="E27" s="2">
        <f t="shared" si="0"/>
        <v>29333333.333333328</v>
      </c>
      <c r="G27" s="2">
        <f>+D27+D26+C26+C27</f>
        <v>2276479.333333333</v>
      </c>
      <c r="I27" s="3">
        <f>+G27/D$5</f>
        <v>0.15272630388344505</v>
      </c>
      <c r="J27" s="5">
        <f>+(D$4*(1+I27))-D$4</f>
        <v>0.248180243810598</v>
      </c>
      <c r="K27" s="1">
        <f>+J27*K$7/100</f>
        <v>744.54073143179403</v>
      </c>
    </row>
    <row r="28" spans="1:11" x14ac:dyDescent="0.35">
      <c r="A28">
        <f>+A26+1</f>
        <v>10</v>
      </c>
      <c r="B28" t="s">
        <v>7</v>
      </c>
      <c r="C28" s="2">
        <f>+B$1/B$2</f>
        <v>1333333.3333333333</v>
      </c>
      <c r="D28" s="2">
        <f>+D27</f>
        <v>465826</v>
      </c>
      <c r="E28" s="2">
        <f t="shared" si="0"/>
        <v>27999999.999999996</v>
      </c>
      <c r="I28" s="4"/>
    </row>
    <row r="29" spans="1:11" x14ac:dyDescent="0.35">
      <c r="B29" t="s">
        <v>8</v>
      </c>
      <c r="D29" s="2">
        <v>453746</v>
      </c>
      <c r="E29" s="2">
        <f t="shared" si="0"/>
        <v>27999999.999999996</v>
      </c>
      <c r="G29" s="2">
        <f>+D29+D28+C28+C29</f>
        <v>2252905.333333333</v>
      </c>
      <c r="I29" s="3">
        <f>+G29/D$5</f>
        <v>0.1511447521271739</v>
      </c>
      <c r="J29" s="5">
        <f>+(D$4*(1+I29))-D$4</f>
        <v>0.2456102222066574</v>
      </c>
      <c r="K29" s="1">
        <f>+J29*K$7/100</f>
        <v>736.83066661997213</v>
      </c>
    </row>
    <row r="30" spans="1:11" x14ac:dyDescent="0.35">
      <c r="A30">
        <f>+A28+1</f>
        <v>11</v>
      </c>
      <c r="B30" t="s">
        <v>7</v>
      </c>
      <c r="C30" s="2">
        <f>+B$1/B$2</f>
        <v>1333333.3333333333</v>
      </c>
      <c r="D30" s="2">
        <f>+D29</f>
        <v>453746</v>
      </c>
      <c r="E30" s="2">
        <f t="shared" si="0"/>
        <v>26666666.666666664</v>
      </c>
      <c r="I30" s="4"/>
    </row>
    <row r="31" spans="1:11" x14ac:dyDescent="0.35">
      <c r="B31" t="s">
        <v>8</v>
      </c>
      <c r="D31" s="2">
        <v>441080</v>
      </c>
      <c r="E31" s="2">
        <f t="shared" si="0"/>
        <v>26666666.666666664</v>
      </c>
      <c r="G31" s="2">
        <f>+D31+D30+C30+C31</f>
        <v>2228159.333333333</v>
      </c>
      <c r="I31" s="3">
        <f>+G31/D$5</f>
        <v>0.14948457227815862</v>
      </c>
      <c r="J31" s="5">
        <f>+(D$4*(1+I31))-D$4</f>
        <v>0.24291242995200779</v>
      </c>
      <c r="K31" s="1">
        <f>+J31*K$7/100</f>
        <v>728.73728985602338</v>
      </c>
    </row>
    <row r="32" spans="1:11" x14ac:dyDescent="0.35">
      <c r="A32">
        <f>+A30+1</f>
        <v>12</v>
      </c>
      <c r="B32" t="s">
        <v>7</v>
      </c>
      <c r="C32" s="2">
        <f>+B$1/B$2</f>
        <v>1333333.3333333333</v>
      </c>
      <c r="D32" s="2">
        <f>+D31</f>
        <v>441080</v>
      </c>
      <c r="E32" s="2">
        <f t="shared" si="0"/>
        <v>25333333.333333332</v>
      </c>
      <c r="I32" s="4"/>
    </row>
    <row r="33" spans="1:11" x14ac:dyDescent="0.35">
      <c r="B33" t="s">
        <v>8</v>
      </c>
      <c r="D33" s="2">
        <v>426615</v>
      </c>
      <c r="E33" s="2">
        <f t="shared" si="0"/>
        <v>25333333.333333332</v>
      </c>
      <c r="G33" s="2">
        <f>+D33+D32+C32+C33</f>
        <v>2201028.333333333</v>
      </c>
      <c r="I33" s="3">
        <f>+G33/D$5</f>
        <v>0.14766438560218539</v>
      </c>
      <c r="J33" s="5">
        <f>+(D$4*(1+I33))-D$4</f>
        <v>0.23995462660355105</v>
      </c>
      <c r="K33" s="1">
        <f>+J33*K$7/100</f>
        <v>719.8638798106532</v>
      </c>
    </row>
    <row r="34" spans="1:11" x14ac:dyDescent="0.35">
      <c r="A34">
        <f>+A32+1</f>
        <v>13</v>
      </c>
      <c r="B34" t="s">
        <v>7</v>
      </c>
      <c r="C34" s="2">
        <f>+B$1/B$2</f>
        <v>1333333.3333333333</v>
      </c>
      <c r="D34" s="2">
        <f>+D33</f>
        <v>426615</v>
      </c>
      <c r="E34" s="2">
        <f t="shared" si="0"/>
        <v>24000000</v>
      </c>
      <c r="I34" s="4"/>
    </row>
    <row r="35" spans="1:11" x14ac:dyDescent="0.35">
      <c r="B35" t="s">
        <v>8</v>
      </c>
      <c r="D35" s="2">
        <v>410610</v>
      </c>
      <c r="E35" s="2">
        <f t="shared" si="0"/>
        <v>24000000</v>
      </c>
      <c r="G35" s="2">
        <f>+D35+D34+C34+C35</f>
        <v>2170558.333333333</v>
      </c>
      <c r="I35" s="3">
        <f>+G35/D$5</f>
        <v>0.14562018936847104</v>
      </c>
      <c r="J35" s="5">
        <f>+(D$4*(1+I35))-D$4</f>
        <v>0.23663280772376538</v>
      </c>
      <c r="K35" s="1">
        <f>+J35*K$7/100</f>
        <v>709.89842317129614</v>
      </c>
    </row>
    <row r="36" spans="1:11" x14ac:dyDescent="0.35">
      <c r="A36">
        <f>+A34+1</f>
        <v>14</v>
      </c>
      <c r="B36" t="s">
        <v>7</v>
      </c>
      <c r="C36" s="2">
        <f>+B$1/B$2</f>
        <v>1333333.3333333333</v>
      </c>
      <c r="D36" s="2">
        <f>+D35</f>
        <v>410610</v>
      </c>
      <c r="E36" s="2">
        <f t="shared" si="0"/>
        <v>22666666.666666668</v>
      </c>
      <c r="I36" s="4"/>
    </row>
    <row r="37" spans="1:11" x14ac:dyDescent="0.35">
      <c r="B37" t="s">
        <v>8</v>
      </c>
      <c r="D37" s="2">
        <v>393267</v>
      </c>
      <c r="E37" s="2">
        <f t="shared" si="0"/>
        <v>22666666.666666668</v>
      </c>
      <c r="G37" s="2">
        <f>+D37+D36+C36+C37</f>
        <v>2137210.333333333</v>
      </c>
      <c r="I37" s="3">
        <f>+G37/D$5</f>
        <v>0.14338291152134577</v>
      </c>
      <c r="J37" s="5">
        <f>+(D$4*(1+I37))-D$4</f>
        <v>0.23299723122218707</v>
      </c>
      <c r="K37" s="1">
        <f>+J37*K$7/100</f>
        <v>698.99169366656122</v>
      </c>
    </row>
    <row r="38" spans="1:11" x14ac:dyDescent="0.35">
      <c r="A38">
        <f>+A36+1</f>
        <v>15</v>
      </c>
      <c r="B38" t="s">
        <v>7</v>
      </c>
      <c r="C38" s="2">
        <f>+B$1/B$2</f>
        <v>1333333.3333333333</v>
      </c>
      <c r="D38" s="2">
        <f>+D37</f>
        <v>393267</v>
      </c>
      <c r="E38" s="2">
        <f t="shared" si="0"/>
        <v>21333333.333333336</v>
      </c>
      <c r="I38" s="4"/>
    </row>
    <row r="39" spans="1:11" x14ac:dyDescent="0.35">
      <c r="B39" t="s">
        <v>8</v>
      </c>
      <c r="D39" s="2">
        <v>374751</v>
      </c>
      <c r="E39" s="2">
        <f t="shared" si="0"/>
        <v>21333333.333333336</v>
      </c>
      <c r="G39" s="2">
        <f>+D39+D38+C38+C39</f>
        <v>2101351.333333333</v>
      </c>
      <c r="I39" s="3">
        <f>+G39/D$5</f>
        <v>0.14097717365640441</v>
      </c>
      <c r="J39" s="5">
        <f>+(D$4*(1+I39))-D$4</f>
        <v>0.22908790719165739</v>
      </c>
      <c r="K39" s="1">
        <f>+J39*K$7/100</f>
        <v>687.26372157497212</v>
      </c>
    </row>
    <row r="40" spans="1:11" x14ac:dyDescent="0.35">
      <c r="A40">
        <f>+A38+1</f>
        <v>16</v>
      </c>
      <c r="B40" t="s">
        <v>7</v>
      </c>
      <c r="C40" s="2">
        <f>+B$1/B$2</f>
        <v>1333333.3333333333</v>
      </c>
      <c r="D40" s="2">
        <f>+D39</f>
        <v>374751</v>
      </c>
      <c r="E40" s="2">
        <f t="shared" si="0"/>
        <v>20000000.000000004</v>
      </c>
      <c r="I40" s="4"/>
    </row>
    <row r="41" spans="1:11" x14ac:dyDescent="0.35">
      <c r="B41" t="s">
        <v>8</v>
      </c>
      <c r="D41" s="2">
        <v>355195</v>
      </c>
      <c r="E41" s="2">
        <f t="shared" si="0"/>
        <v>20000000.000000004</v>
      </c>
      <c r="G41" s="2">
        <f>+D41+D40+C40+C41</f>
        <v>2063279.3333333333</v>
      </c>
      <c r="I41" s="3">
        <f>+G41/D$5</f>
        <v>0.13842296824091468</v>
      </c>
      <c r="J41" s="5">
        <f>+(D$4*(1+I41))-D$4</f>
        <v>0.2249373233914862</v>
      </c>
      <c r="K41" s="1">
        <f>+J41*K$7/100</f>
        <v>674.81197017445857</v>
      </c>
    </row>
    <row r="42" spans="1:11" x14ac:dyDescent="0.35">
      <c r="A42">
        <f>+A40+1</f>
        <v>17</v>
      </c>
      <c r="B42" t="s">
        <v>7</v>
      </c>
      <c r="C42" s="2">
        <f>+B$1/B$2</f>
        <v>1333333.3333333333</v>
      </c>
      <c r="D42" s="2">
        <f>+D41</f>
        <v>355195</v>
      </c>
      <c r="E42" s="2">
        <f t="shared" si="0"/>
        <v>18666666.666666672</v>
      </c>
      <c r="I42" s="4"/>
    </row>
    <row r="43" spans="1:11" x14ac:dyDescent="0.35">
      <c r="B43" t="s">
        <v>8</v>
      </c>
      <c r="D43" s="2">
        <v>334845</v>
      </c>
      <c r="E43" s="2">
        <f t="shared" si="0"/>
        <v>18666666.666666672</v>
      </c>
      <c r="G43" s="2">
        <f>+D43+D42+C42+C43</f>
        <v>2023373.3333333333</v>
      </c>
      <c r="I43" s="3">
        <f>+G43/D$5</f>
        <v>0.13574572193626733</v>
      </c>
      <c r="J43" s="5">
        <f>+(D$4*(1+I43))-D$4</f>
        <v>0.22058679814643423</v>
      </c>
      <c r="K43" s="1">
        <f>+J43*K$7/100</f>
        <v>661.76039443930267</v>
      </c>
    </row>
    <row r="44" spans="1:11" x14ac:dyDescent="0.35">
      <c r="A44">
        <f>+A42+1</f>
        <v>18</v>
      </c>
      <c r="B44" t="s">
        <v>7</v>
      </c>
      <c r="C44" s="2">
        <f>+B$1/B$2</f>
        <v>1333333.3333333333</v>
      </c>
      <c r="D44" s="2">
        <f>+D43</f>
        <v>334845</v>
      </c>
      <c r="E44" s="2">
        <f t="shared" si="0"/>
        <v>17333333.33333334</v>
      </c>
      <c r="I44" s="4"/>
    </row>
    <row r="45" spans="1:11" x14ac:dyDescent="0.35">
      <c r="B45" t="s">
        <v>8</v>
      </c>
      <c r="D45" s="2">
        <v>313784</v>
      </c>
      <c r="E45" s="2">
        <f t="shared" si="0"/>
        <v>17333333.33333334</v>
      </c>
      <c r="G45" s="2">
        <f>+D45+D44+C44+C45</f>
        <v>1981962.3333333333</v>
      </c>
      <c r="I45" s="3">
        <f>+G45/D$5</f>
        <v>0.13296750696303641</v>
      </c>
      <c r="J45" s="5">
        <f>+(D$4*(1+I45))-D$4</f>
        <v>0.21607219881493434</v>
      </c>
      <c r="K45" s="1">
        <f>+J45*K$7/100</f>
        <v>648.21659644480303</v>
      </c>
    </row>
    <row r="46" spans="1:11" x14ac:dyDescent="0.35">
      <c r="A46">
        <f>+A44+1</f>
        <v>19</v>
      </c>
      <c r="B46" t="s">
        <v>7</v>
      </c>
      <c r="C46" s="2">
        <f>+B$1/B$2</f>
        <v>1333333.3333333333</v>
      </c>
      <c r="D46" s="2">
        <f>+D45</f>
        <v>313784</v>
      </c>
      <c r="E46" s="2">
        <f t="shared" si="0"/>
        <v>16000000.000000006</v>
      </c>
      <c r="I46" s="4"/>
    </row>
    <row r="47" spans="1:11" x14ac:dyDescent="0.35">
      <c r="B47" t="s">
        <v>8</v>
      </c>
      <c r="D47" s="2">
        <v>292081</v>
      </c>
      <c r="E47" s="2">
        <f t="shared" si="0"/>
        <v>16000000.000000006</v>
      </c>
      <c r="G47" s="2">
        <f>+D47+D46+C46+C47</f>
        <v>1939198.3333333333</v>
      </c>
      <c r="I47" s="3">
        <f>+G47/D$5</f>
        <v>0.13009852082130485</v>
      </c>
      <c r="J47" s="5">
        <f>+(D$4*(1+I47))-D$4</f>
        <v>0.21141009633462038</v>
      </c>
      <c r="K47" s="1">
        <f>+J47*K$7/100</f>
        <v>634.23028900386112</v>
      </c>
    </row>
    <row r="48" spans="1:11" x14ac:dyDescent="0.35">
      <c r="A48">
        <f>+A46+1</f>
        <v>20</v>
      </c>
      <c r="B48" t="s">
        <v>7</v>
      </c>
      <c r="C48" s="2">
        <f>+B$1/B$2</f>
        <v>1333333.3333333333</v>
      </c>
      <c r="D48" s="2">
        <f>+D47</f>
        <v>292081</v>
      </c>
      <c r="E48" s="2">
        <f t="shared" si="0"/>
        <v>14666666.666666672</v>
      </c>
      <c r="I48" s="4"/>
    </row>
    <row r="49" spans="1:11" x14ac:dyDescent="0.35">
      <c r="B49" t="s">
        <v>8</v>
      </c>
      <c r="D49" s="2">
        <v>269794</v>
      </c>
      <c r="E49" s="2">
        <f t="shared" si="0"/>
        <v>14666666.666666672</v>
      </c>
      <c r="G49" s="2">
        <f>+D49+D48+C48+C49</f>
        <v>1895208.3333333333</v>
      </c>
      <c r="I49" s="3">
        <f>+G49/D$5</f>
        <v>0.12714728379074711</v>
      </c>
      <c r="J49" s="5">
        <f>+(D$4*(1+I49))-D$4</f>
        <v>0.20661433615996394</v>
      </c>
      <c r="K49" s="1">
        <f>+J49*K$7/100</f>
        <v>619.84300847989175</v>
      </c>
    </row>
    <row r="50" spans="1:11" x14ac:dyDescent="0.35">
      <c r="A50">
        <f>+A48+1</f>
        <v>21</v>
      </c>
      <c r="B50" t="s">
        <v>7</v>
      </c>
      <c r="C50" s="2">
        <f>+B$1/B$2</f>
        <v>1333333.3333333333</v>
      </c>
      <c r="D50" s="2">
        <f>+D49</f>
        <v>269794</v>
      </c>
      <c r="E50" s="2">
        <f t="shared" si="0"/>
        <v>13333333.333333338</v>
      </c>
      <c r="I50" s="4"/>
    </row>
    <row r="51" spans="1:11" x14ac:dyDescent="0.35">
      <c r="B51" t="s">
        <v>8</v>
      </c>
      <c r="D51" s="2">
        <v>246974</v>
      </c>
      <c r="E51" s="2">
        <f t="shared" si="0"/>
        <v>13333333.333333338</v>
      </c>
      <c r="G51" s="2">
        <f>+D51+D50+C50+C51</f>
        <v>1850101.3333333333</v>
      </c>
      <c r="I51" s="3">
        <f>+G51/D$5</f>
        <v>0.12412110855234365</v>
      </c>
      <c r="J51" s="5">
        <f>+(D$4*(1+I51))-D$4</f>
        <v>0.20169680139755863</v>
      </c>
      <c r="K51" s="1">
        <f>+J51*K$7/100</f>
        <v>605.09040419267592</v>
      </c>
    </row>
    <row r="52" spans="1:11" x14ac:dyDescent="0.35">
      <c r="A52">
        <f>+A50+1</f>
        <v>22</v>
      </c>
      <c r="B52" t="s">
        <v>7</v>
      </c>
      <c r="C52" s="2">
        <f>+B$1/B$2</f>
        <v>1333333.3333333333</v>
      </c>
      <c r="D52" s="2">
        <f>+D51</f>
        <v>246974</v>
      </c>
      <c r="E52" s="2">
        <f t="shared" si="0"/>
        <v>12000000.000000004</v>
      </c>
      <c r="I52" s="4"/>
    </row>
    <row r="53" spans="1:11" x14ac:dyDescent="0.35">
      <c r="B53" t="s">
        <v>8</v>
      </c>
      <c r="D53" s="2">
        <v>223684</v>
      </c>
      <c r="E53" s="2">
        <f t="shared" si="0"/>
        <v>12000000.000000004</v>
      </c>
      <c r="G53" s="2">
        <f>+D53+D52+C52+C53</f>
        <v>1803991.3333333333</v>
      </c>
      <c r="I53" s="3">
        <f>+G53/D$5</f>
        <v>0.12102764323115661</v>
      </c>
      <c r="J53" s="5">
        <f>+(D$4*(1+I53))-D$4</f>
        <v>0.19666992025062946</v>
      </c>
      <c r="K53" s="1">
        <f>+J53*K$7/100</f>
        <v>590.00976075188839</v>
      </c>
    </row>
    <row r="54" spans="1:11" x14ac:dyDescent="0.35">
      <c r="A54">
        <f>+A52+1</f>
        <v>23</v>
      </c>
      <c r="B54" t="s">
        <v>7</v>
      </c>
      <c r="C54" s="2">
        <f>+B$1/B$2</f>
        <v>1333333.3333333333</v>
      </c>
      <c r="D54" s="2">
        <f>+D53</f>
        <v>223684</v>
      </c>
      <c r="E54" s="2">
        <f t="shared" si="0"/>
        <v>10666666.66666667</v>
      </c>
      <c r="I54" s="4"/>
    </row>
    <row r="55" spans="1:11" x14ac:dyDescent="0.35">
      <c r="B55" t="s">
        <v>8</v>
      </c>
      <c r="D55" s="2">
        <v>199960</v>
      </c>
      <c r="E55" s="2">
        <f t="shared" si="0"/>
        <v>10666666.66666667</v>
      </c>
      <c r="G55" s="2">
        <f>+D55+D54+C54+C55</f>
        <v>1756977.3333333333</v>
      </c>
      <c r="I55" s="3">
        <f>+G55/D$5</f>
        <v>0.11787352962000312</v>
      </c>
      <c r="J55" s="5">
        <f>+(D$4*(1+I55))-D$4</f>
        <v>0.19154448563250503</v>
      </c>
      <c r="K55" s="1">
        <f>+J55*K$7/100</f>
        <v>574.63345689751509</v>
      </c>
    </row>
    <row r="56" spans="1:11" x14ac:dyDescent="0.35">
      <c r="A56">
        <f>+A54+1</f>
        <v>24</v>
      </c>
      <c r="B56" t="s">
        <v>7</v>
      </c>
      <c r="C56" s="2">
        <f>+B$1/B$2</f>
        <v>1333333.3333333333</v>
      </c>
      <c r="D56" s="2">
        <f>+D55</f>
        <v>199960</v>
      </c>
      <c r="E56" s="2">
        <f t="shared" si="0"/>
        <v>9333333.3333333358</v>
      </c>
      <c r="I56" s="4"/>
    </row>
    <row r="57" spans="1:11" x14ac:dyDescent="0.35">
      <c r="B57" t="s">
        <v>8</v>
      </c>
      <c r="D57" s="2">
        <v>175834</v>
      </c>
      <c r="E57" s="2">
        <f t="shared" si="0"/>
        <v>9333333.3333333358</v>
      </c>
      <c r="G57" s="2">
        <f>+D57+D56+C56+C57</f>
        <v>1709127.3333333333</v>
      </c>
      <c r="I57" s="3">
        <f>+G57/D$5</f>
        <v>0.11466332975839394</v>
      </c>
      <c r="J57" s="5">
        <f>+(D$4*(1+I57))-D$4</f>
        <v>0.18632791085739009</v>
      </c>
      <c r="K57" s="1">
        <f>+J57*K$7/100</f>
        <v>558.98373257217031</v>
      </c>
    </row>
    <row r="58" spans="1:11" x14ac:dyDescent="0.35">
      <c r="A58">
        <f>+A56+1</f>
        <v>25</v>
      </c>
      <c r="B58" t="s">
        <v>7</v>
      </c>
      <c r="C58" s="2">
        <f>+B$1/B$2</f>
        <v>1333333.3333333333</v>
      </c>
      <c r="D58" s="2">
        <f>+D57</f>
        <v>175834</v>
      </c>
      <c r="E58" s="2">
        <f t="shared" si="0"/>
        <v>8000000.0000000028</v>
      </c>
      <c r="I58" s="4"/>
    </row>
    <row r="59" spans="1:11" x14ac:dyDescent="0.35">
      <c r="B59" t="s">
        <v>8</v>
      </c>
      <c r="D59" s="2">
        <v>151335</v>
      </c>
      <c r="E59" s="2">
        <f t="shared" si="0"/>
        <v>8000000.0000000028</v>
      </c>
      <c r="G59" s="2">
        <f>+D59+D58+C58+C59</f>
        <v>1660502.3333333333</v>
      </c>
      <c r="I59" s="3">
        <f>+G59/D$5</f>
        <v>0.11140113606412545</v>
      </c>
      <c r="J59" s="5">
        <f>+(D$4*(1+I59))-D$4</f>
        <v>0.18102684610420372</v>
      </c>
      <c r="K59" s="1">
        <f>+J59*K$7/100</f>
        <v>543.08053831261122</v>
      </c>
    </row>
    <row r="60" spans="1:11" x14ac:dyDescent="0.35">
      <c r="A60">
        <f>+A58+1</f>
        <v>26</v>
      </c>
      <c r="B60" t="s">
        <v>7</v>
      </c>
      <c r="C60" s="2">
        <f>+B$1/B$2</f>
        <v>1333333.3333333333</v>
      </c>
      <c r="D60" s="2">
        <f>+D59</f>
        <v>151335</v>
      </c>
      <c r="E60" s="2">
        <f t="shared" si="0"/>
        <v>6666666.6666666698</v>
      </c>
      <c r="I60" s="4"/>
    </row>
    <row r="61" spans="1:11" x14ac:dyDescent="0.35">
      <c r="B61" t="s">
        <v>8</v>
      </c>
      <c r="D61" s="2">
        <v>126630</v>
      </c>
      <c r="E61" s="2">
        <f t="shared" si="0"/>
        <v>6666666.6666666698</v>
      </c>
      <c r="G61" s="2">
        <f>+D61+D60+C60+C61</f>
        <v>1611298.3333333333</v>
      </c>
      <c r="I61" s="3">
        <f>+G61/D$5</f>
        <v>0.10810009794519926</v>
      </c>
      <c r="J61" s="5">
        <f>+(D$4*(1+I61))-D$4</f>
        <v>0.17566265916094892</v>
      </c>
      <c r="K61" s="1">
        <f>+J61*K$7/100</f>
        <v>526.98797748284676</v>
      </c>
    </row>
    <row r="62" spans="1:11" x14ac:dyDescent="0.35">
      <c r="A62">
        <f>+A60+1</f>
        <v>27</v>
      </c>
      <c r="B62" t="s">
        <v>7</v>
      </c>
      <c r="C62" s="2">
        <f>+B$1/B$2</f>
        <v>1333333.3333333333</v>
      </c>
      <c r="D62" s="2">
        <f>+D61</f>
        <v>126630</v>
      </c>
      <c r="E62" s="2">
        <f t="shared" si="0"/>
        <v>5333333.3333333367</v>
      </c>
      <c r="I62" s="4"/>
    </row>
    <row r="63" spans="1:11" x14ac:dyDescent="0.35">
      <c r="B63" t="s">
        <v>8</v>
      </c>
      <c r="D63" s="2">
        <v>101698</v>
      </c>
      <c r="E63" s="2">
        <f t="shared" si="0"/>
        <v>5333333.3333333367</v>
      </c>
      <c r="G63" s="2">
        <f>+D63+D62+C62+C63</f>
        <v>1561661.3333333333</v>
      </c>
      <c r="I63" s="3">
        <f>+G63/D$5</f>
        <v>0.1047700103688002</v>
      </c>
      <c r="J63" s="5">
        <f>+(D$4*(1+I63))-D$4</f>
        <v>0.17025126684930036</v>
      </c>
      <c r="K63" s="1">
        <f>+J63*K$7/100</f>
        <v>510.75380054790111</v>
      </c>
    </row>
    <row r="64" spans="1:11" x14ac:dyDescent="0.35">
      <c r="A64">
        <f>+A62+1</f>
        <v>28</v>
      </c>
      <c r="B64" t="s">
        <v>7</v>
      </c>
      <c r="C64" s="2">
        <f>+B$1/B$2</f>
        <v>1333333.3333333333</v>
      </c>
      <c r="D64" s="2">
        <f>+D63</f>
        <v>101698</v>
      </c>
      <c r="E64" s="2">
        <f t="shared" si="0"/>
        <v>4000000.0000000037</v>
      </c>
      <c r="I64" s="4"/>
    </row>
    <row r="65" spans="1:11" x14ac:dyDescent="0.35">
      <c r="B65" t="s">
        <v>8</v>
      </c>
      <c r="D65" s="2">
        <v>76555</v>
      </c>
      <c r="E65" s="2">
        <f t="shared" si="0"/>
        <v>4000000.0000000037</v>
      </c>
      <c r="G65" s="2">
        <f>+D65+D64+C64+C65</f>
        <v>1511586.3333333333</v>
      </c>
      <c r="I65" s="3">
        <f>+G65/D$5</f>
        <v>0.10141053789084659</v>
      </c>
      <c r="J65" s="5">
        <f>+(D$4*(1+I65))-D$4</f>
        <v>0.16479212407262556</v>
      </c>
      <c r="K65" s="1">
        <f>+J65*K$7/100</f>
        <v>494.37637221787668</v>
      </c>
    </row>
    <row r="66" spans="1:11" x14ac:dyDescent="0.35">
      <c r="A66">
        <f>+A64+1</f>
        <v>29</v>
      </c>
      <c r="B66" t="s">
        <v>7</v>
      </c>
      <c r="C66" s="2">
        <f>+B$1/B$2</f>
        <v>1333333.3333333333</v>
      </c>
      <c r="D66" s="2">
        <f>+D65</f>
        <v>76555</v>
      </c>
      <c r="E66" s="2">
        <f t="shared" si="0"/>
        <v>2666666.6666666707</v>
      </c>
      <c r="I66" s="4"/>
    </row>
    <row r="67" spans="1:11" x14ac:dyDescent="0.35">
      <c r="B67" t="s">
        <v>8</v>
      </c>
      <c r="D67" s="2">
        <v>51216</v>
      </c>
      <c r="E67" s="2">
        <f t="shared" si="0"/>
        <v>2666666.6666666707</v>
      </c>
      <c r="G67" s="2">
        <f>+D67+D66+C66+C67</f>
        <v>1461104.3333333333</v>
      </c>
      <c r="I67" s="3">
        <f>+G67/D$5</f>
        <v>9.8023760264644808E-2</v>
      </c>
      <c r="J67" s="5">
        <f>+(D$4*(1+I67))-D$4</f>
        <v>0.15928861043004772</v>
      </c>
      <c r="K67" s="1">
        <f>+J67*K$7/100</f>
        <v>477.86583129014321</v>
      </c>
    </row>
    <row r="68" spans="1:11" x14ac:dyDescent="0.35">
      <c r="A68">
        <f>+A66+1</f>
        <v>30</v>
      </c>
      <c r="B68" t="s">
        <v>7</v>
      </c>
      <c r="C68" s="2">
        <f>+B$1/B$2</f>
        <v>1333333.3333333333</v>
      </c>
      <c r="D68" s="2">
        <f>+D67</f>
        <v>51216</v>
      </c>
      <c r="E68" s="2">
        <f t="shared" si="0"/>
        <v>1333333.3333333374</v>
      </c>
      <c r="I68" s="4"/>
    </row>
    <row r="69" spans="1:11" x14ac:dyDescent="0.35">
      <c r="B69" t="s">
        <v>8</v>
      </c>
      <c r="D69" s="2">
        <v>25694</v>
      </c>
      <c r="E69" s="2">
        <f t="shared" si="0"/>
        <v>1333333.3333333374</v>
      </c>
      <c r="G69" s="2">
        <f>+D69+D68+C68+C69</f>
        <v>1410243.3333333333</v>
      </c>
      <c r="I69" s="3">
        <f>+G69/D$5</f>
        <v>9.4611555977052217E-2</v>
      </c>
      <c r="J69" s="5">
        <f>+(D$4*(1+I69))-D$4</f>
        <v>0.15374377846270981</v>
      </c>
      <c r="K69" s="1">
        <f>+J69*K$7/100</f>
        <v>461.23133538812942</v>
      </c>
    </row>
    <row r="70" spans="1:11" x14ac:dyDescent="0.35">
      <c r="A70">
        <f>+A68+1</f>
        <v>31</v>
      </c>
      <c r="B70" t="s">
        <v>7</v>
      </c>
      <c r="C70" s="2">
        <f>+B$1/B$2</f>
        <v>1333333.3333333333</v>
      </c>
      <c r="D70" s="2">
        <f>+D69</f>
        <v>25694</v>
      </c>
      <c r="E70" s="2">
        <f t="shared" si="0"/>
        <v>4.1909515857696533E-9</v>
      </c>
      <c r="I70" s="4"/>
    </row>
    <row r="71" spans="1:11" x14ac:dyDescent="0.35">
      <c r="B71" t="s">
        <v>8</v>
      </c>
      <c r="G71" s="2">
        <f>+D71+D70+C70+C71</f>
        <v>1359027.3333333333</v>
      </c>
      <c r="I71" s="3">
        <f>+G71/D$5</f>
        <v>9.117553515966087E-2</v>
      </c>
      <c r="J71" s="5">
        <f>+(D$4*(1+I71))-D$4</f>
        <v>0.14816024463444877</v>
      </c>
      <c r="K71" s="1">
        <f>+J71*K$7/100</f>
        <v>444.48073390334633</v>
      </c>
    </row>
    <row r="72" spans="1:11" x14ac:dyDescent="0.35">
      <c r="I72" s="4"/>
    </row>
    <row r="73" spans="1:11" x14ac:dyDescent="0.35">
      <c r="B73" t="s">
        <v>11</v>
      </c>
      <c r="C73" s="2">
        <f>SUM(C10:C72)</f>
        <v>40000000</v>
      </c>
      <c r="D73" s="2">
        <f>SUM(D10:D72)</f>
        <v>20387479</v>
      </c>
      <c r="G73" s="2">
        <f>SUM(G10:G72)</f>
        <v>60387479.000000022</v>
      </c>
      <c r="I73" s="3"/>
      <c r="K73" s="2">
        <f>SUM(K10:K72)</f>
        <v>19750.206876751265</v>
      </c>
    </row>
    <row r="74" spans="1:11" x14ac:dyDescent="0.35">
      <c r="I74" s="4"/>
    </row>
    <row r="75" spans="1:11" x14ac:dyDescent="0.35">
      <c r="I75" s="3"/>
    </row>
  </sheetData>
  <mergeCells count="4">
    <mergeCell ref="I7:I8"/>
    <mergeCell ref="J7:J8"/>
    <mergeCell ref="G7:G8"/>
    <mergeCell ref="L6:L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5"/>
  <sheetViews>
    <sheetView workbookViewId="0">
      <selection activeCell="E19" sqref="E19"/>
    </sheetView>
  </sheetViews>
  <sheetFormatPr defaultRowHeight="14.5" x14ac:dyDescent="0.35"/>
  <cols>
    <col min="2" max="2" width="14.26953125" bestFit="1" customWidth="1"/>
    <col min="3" max="3" width="13.26953125" style="2" bestFit="1" customWidth="1"/>
    <col min="4" max="4" width="12.1796875" style="2" bestFit="1" customWidth="1"/>
    <col min="5" max="5" width="18.26953125" style="2" customWidth="1"/>
    <col min="7" max="7" width="13.26953125" style="2" bestFit="1" customWidth="1"/>
    <col min="9" max="9" width="17.54296875" customWidth="1"/>
    <col min="10" max="10" width="13" style="5" customWidth="1"/>
    <col min="11" max="11" width="14.54296875" style="5" customWidth="1"/>
    <col min="12" max="12" width="9.1796875" style="5"/>
    <col min="16" max="16" width="15.26953125" style="2" bestFit="1" customWidth="1"/>
  </cols>
  <sheetData>
    <row r="1" spans="1:12" x14ac:dyDescent="0.35">
      <c r="A1" t="s">
        <v>10</v>
      </c>
      <c r="B1" s="2">
        <v>40000000</v>
      </c>
    </row>
    <row r="2" spans="1:12" x14ac:dyDescent="0.35">
      <c r="A2" t="s">
        <v>9</v>
      </c>
      <c r="B2">
        <v>25</v>
      </c>
    </row>
    <row r="3" spans="1:12" x14ac:dyDescent="0.35">
      <c r="A3" t="s">
        <v>0</v>
      </c>
      <c r="B3" s="3">
        <v>2.9700000000000001E-2</v>
      </c>
      <c r="I3" s="2"/>
    </row>
    <row r="4" spans="1:12" x14ac:dyDescent="0.35">
      <c r="A4" t="s">
        <v>14</v>
      </c>
      <c r="C4"/>
      <c r="D4" s="5">
        <v>1.625</v>
      </c>
      <c r="I4" s="3"/>
      <c r="K4" s="7"/>
    </row>
    <row r="5" spans="1:12" x14ac:dyDescent="0.35">
      <c r="A5" s="9" t="s">
        <v>2</v>
      </c>
      <c r="B5" s="9"/>
      <c r="C5" s="9"/>
      <c r="D5" s="10">
        <v>14905614</v>
      </c>
      <c r="I5" s="3"/>
    </row>
    <row r="6" spans="1:12" x14ac:dyDescent="0.35">
      <c r="A6" s="9"/>
      <c r="B6" s="9"/>
      <c r="C6" s="9"/>
      <c r="D6" s="10"/>
      <c r="I6" s="3"/>
      <c r="K6" s="15" t="s">
        <v>15</v>
      </c>
    </row>
    <row r="7" spans="1:12" x14ac:dyDescent="0.35">
      <c r="A7" s="11"/>
      <c r="B7" s="11"/>
      <c r="C7" s="12"/>
      <c r="D7" s="12"/>
      <c r="E7" s="12"/>
      <c r="F7" s="11"/>
      <c r="G7" s="394" t="s">
        <v>13</v>
      </c>
      <c r="H7" s="11"/>
      <c r="I7" s="396" t="s">
        <v>5</v>
      </c>
      <c r="J7" s="397" t="s">
        <v>16</v>
      </c>
      <c r="K7" s="16">
        <v>300000</v>
      </c>
    </row>
    <row r="8" spans="1:12" ht="15" thickBot="1" x14ac:dyDescent="0.4">
      <c r="A8" s="13" t="s">
        <v>3</v>
      </c>
      <c r="B8" s="13" t="s">
        <v>6</v>
      </c>
      <c r="C8" s="14" t="s">
        <v>1</v>
      </c>
      <c r="D8" s="14" t="s">
        <v>0</v>
      </c>
      <c r="E8" s="14" t="s">
        <v>12</v>
      </c>
      <c r="F8" s="13"/>
      <c r="G8" s="395"/>
      <c r="H8" s="13"/>
      <c r="I8" s="387"/>
      <c r="J8" s="398"/>
      <c r="K8" s="17" t="s">
        <v>4</v>
      </c>
      <c r="L8" s="6"/>
    </row>
    <row r="9" spans="1:12" x14ac:dyDescent="0.35">
      <c r="E9" s="2">
        <f>+B1</f>
        <v>40000000</v>
      </c>
      <c r="L9" s="2">
        <f>+' Cost per Eq Pupil'!D15</f>
        <v>17904.444344633212</v>
      </c>
    </row>
    <row r="10" spans="1:12" x14ac:dyDescent="0.35">
      <c r="A10">
        <v>1</v>
      </c>
      <c r="B10" t="s">
        <v>7</v>
      </c>
      <c r="D10" s="2">
        <v>337818</v>
      </c>
      <c r="E10" s="2">
        <f>+E9-C10</f>
        <v>40000000</v>
      </c>
      <c r="I10" s="4"/>
    </row>
    <row r="11" spans="1:12" x14ac:dyDescent="0.35">
      <c r="B11" t="s">
        <v>8</v>
      </c>
      <c r="D11" s="2">
        <v>502540</v>
      </c>
      <c r="E11" s="2">
        <f t="shared" ref="E11:E60" si="0">+E10-C11</f>
        <v>40000000</v>
      </c>
      <c r="G11" s="2">
        <f>+D11+D10+C10+C11</f>
        <v>840358</v>
      </c>
      <c r="I11" s="3">
        <f>+G11/D$5</f>
        <v>5.6378623517286841E-2</v>
      </c>
      <c r="J11" s="5">
        <f>+(D$4*(1+I11))-D$4</f>
        <v>9.1615263215590881E-2</v>
      </c>
      <c r="K11" s="1">
        <f>+J11*K$7/100</f>
        <v>274.84578964677263</v>
      </c>
      <c r="L11" s="2">
        <f>+(G11+' Cost per Eq Pupil'!D$13)/' Cost per Eq Pupil'!D$11</f>
        <v>18848.062476840674</v>
      </c>
    </row>
    <row r="12" spans="1:12" x14ac:dyDescent="0.35">
      <c r="A12">
        <f>+A10+1</f>
        <v>2</v>
      </c>
      <c r="B12" t="s">
        <v>7</v>
      </c>
      <c r="C12" s="2">
        <f>+B$1/B$2</f>
        <v>1600000</v>
      </c>
      <c r="D12" s="2">
        <f>+D11</f>
        <v>502540</v>
      </c>
      <c r="E12" s="2">
        <f t="shared" si="0"/>
        <v>38400000</v>
      </c>
      <c r="I12" s="4"/>
    </row>
    <row r="13" spans="1:12" x14ac:dyDescent="0.35">
      <c r="B13" t="s">
        <v>8</v>
      </c>
      <c r="D13" s="2">
        <v>491740</v>
      </c>
      <c r="E13" s="2">
        <f t="shared" si="0"/>
        <v>38400000</v>
      </c>
      <c r="G13" s="2">
        <f>+D13+D12+C12+C13</f>
        <v>2594280</v>
      </c>
      <c r="I13" s="3">
        <f>+G13/D$5</f>
        <v>0.17404717444044909</v>
      </c>
      <c r="J13" s="5">
        <f>+(D$4*(1+I13))-D$4</f>
        <v>0.28282665846572974</v>
      </c>
      <c r="K13" s="1">
        <f>+J13*K$7/100</f>
        <v>848.47997539718926</v>
      </c>
      <c r="L13" s="2">
        <f>+(G13+' Cost per Eq Pupil'!D$13)/' Cost per Eq Pupil'!D$11</f>
        <v>20817.500028071907</v>
      </c>
    </row>
    <row r="14" spans="1:12" x14ac:dyDescent="0.35">
      <c r="A14">
        <f>+A12+1</f>
        <v>3</v>
      </c>
      <c r="B14" t="s">
        <v>7</v>
      </c>
      <c r="C14" s="2">
        <f>+B$1/B$2</f>
        <v>1600000</v>
      </c>
      <c r="D14" s="2">
        <f>+D13</f>
        <v>491740</v>
      </c>
      <c r="E14" s="2">
        <f t="shared" si="0"/>
        <v>36800000</v>
      </c>
      <c r="I14" s="4"/>
    </row>
    <row r="15" spans="1:12" x14ac:dyDescent="0.35">
      <c r="B15" t="s">
        <v>8</v>
      </c>
      <c r="D15" s="2">
        <v>480700</v>
      </c>
      <c r="E15" s="2">
        <f t="shared" si="0"/>
        <v>36800000</v>
      </c>
      <c r="G15" s="2">
        <f>+D15+D14+C14+C15</f>
        <v>2572440</v>
      </c>
      <c r="I15" s="3">
        <f>+G15/D$5</f>
        <v>0.17258195469170207</v>
      </c>
      <c r="J15" s="5">
        <f>+(D$4*(1+I15))-D$4</f>
        <v>0.28044567637401574</v>
      </c>
      <c r="K15" s="1">
        <f>+J15*K$7/100</f>
        <v>841.33702912204728</v>
      </c>
      <c r="L15" s="2">
        <f>+(G15+' Cost per Eq Pupil'!D$13)/' Cost per Eq Pupil'!D$11</f>
        <v>20792.976408367675</v>
      </c>
    </row>
    <row r="16" spans="1:12" x14ac:dyDescent="0.35">
      <c r="A16">
        <f>+A14+1</f>
        <v>4</v>
      </c>
      <c r="B16" t="s">
        <v>7</v>
      </c>
      <c r="C16" s="2">
        <f>+B$1/B$2</f>
        <v>1600000</v>
      </c>
      <c r="D16" s="2">
        <f>+D15</f>
        <v>480700</v>
      </c>
      <c r="E16" s="2">
        <f t="shared" si="0"/>
        <v>35200000</v>
      </c>
      <c r="I16" s="4"/>
    </row>
    <row r="17" spans="1:11" x14ac:dyDescent="0.35">
      <c r="B17" t="s">
        <v>8</v>
      </c>
      <c r="D17" s="2">
        <v>469446</v>
      </c>
      <c r="E17" s="2">
        <f t="shared" si="0"/>
        <v>35200000</v>
      </c>
      <c r="G17" s="2">
        <f>+D17+D16+C16+C17</f>
        <v>2550146</v>
      </c>
      <c r="I17" s="3">
        <f>+G17/D$5</f>
        <v>0.17108627662033915</v>
      </c>
      <c r="J17" s="5">
        <f>+(D$4*(1+I17))-D$4</f>
        <v>0.27801519950805109</v>
      </c>
      <c r="K17" s="1">
        <f>+J17*K$7/100</f>
        <v>834.04559852415332</v>
      </c>
    </row>
    <row r="18" spans="1:11" x14ac:dyDescent="0.35">
      <c r="A18">
        <f>+A16+1</f>
        <v>5</v>
      </c>
      <c r="B18" t="s">
        <v>7</v>
      </c>
      <c r="C18" s="2">
        <f>+B$1/B$2</f>
        <v>1600000</v>
      </c>
      <c r="D18" s="2">
        <f>+D17</f>
        <v>469446</v>
      </c>
      <c r="E18" s="2">
        <f t="shared" si="0"/>
        <v>33600000</v>
      </c>
      <c r="I18" s="4"/>
    </row>
    <row r="19" spans="1:11" x14ac:dyDescent="0.35">
      <c r="B19" t="s">
        <v>8</v>
      </c>
      <c r="D19" s="2">
        <v>457980</v>
      </c>
      <c r="E19" s="2">
        <f t="shared" si="0"/>
        <v>33600000</v>
      </c>
      <c r="G19" s="2">
        <f>+D19+D18+C18+C19</f>
        <v>2527426</v>
      </c>
      <c r="I19" s="3">
        <f>+G19/D$5</f>
        <v>0.16956201871321772</v>
      </c>
      <c r="J19" s="5">
        <f>+(D$4*(1+I19))-D$4</f>
        <v>0.27553828040897876</v>
      </c>
      <c r="K19" s="1">
        <f>+J19*K$7/100</f>
        <v>826.61484122693628</v>
      </c>
    </row>
    <row r="20" spans="1:11" x14ac:dyDescent="0.35">
      <c r="A20">
        <f>+A18+1</f>
        <v>6</v>
      </c>
      <c r="B20" t="s">
        <v>7</v>
      </c>
      <c r="C20" s="2">
        <f>+B$1/B$2</f>
        <v>1600000</v>
      </c>
      <c r="D20" s="2">
        <f>+D19</f>
        <v>457980</v>
      </c>
      <c r="E20" s="2">
        <f t="shared" si="0"/>
        <v>32000000</v>
      </c>
      <c r="I20" s="4"/>
    </row>
    <row r="21" spans="1:11" x14ac:dyDescent="0.35">
      <c r="B21" t="s">
        <v>8</v>
      </c>
      <c r="D21" s="2">
        <v>446300</v>
      </c>
      <c r="E21" s="2">
        <f t="shared" si="0"/>
        <v>32000000</v>
      </c>
      <c r="G21" s="2">
        <f>+D21+D20+C20+C21</f>
        <v>2504280</v>
      </c>
      <c r="I21" s="3">
        <f>+G21/D$5</f>
        <v>0.16800918097033776</v>
      </c>
      <c r="J21" s="5">
        <f>+(D$4*(1+I21))-D$4</f>
        <v>0.27301491907679876</v>
      </c>
      <c r="K21" s="1">
        <f>+J21*K$7/100</f>
        <v>819.04475723039616</v>
      </c>
    </row>
    <row r="22" spans="1:11" x14ac:dyDescent="0.35">
      <c r="A22">
        <f>+A20+1</f>
        <v>7</v>
      </c>
      <c r="B22" t="s">
        <v>7</v>
      </c>
      <c r="C22" s="2">
        <f>+B$1/B$2</f>
        <v>1600000</v>
      </c>
      <c r="D22" s="2">
        <f>+D21</f>
        <v>446300</v>
      </c>
      <c r="E22" s="2">
        <f t="shared" si="0"/>
        <v>30400000</v>
      </c>
      <c r="I22" s="4"/>
    </row>
    <row r="23" spans="1:11" x14ac:dyDescent="0.35">
      <c r="B23" t="s">
        <v>8</v>
      </c>
      <c r="D23" s="2">
        <v>433916</v>
      </c>
      <c r="E23" s="2">
        <f t="shared" si="0"/>
        <v>30400000</v>
      </c>
      <c r="G23" s="2">
        <f>+D23+D22+C22+C23</f>
        <v>2480216</v>
      </c>
      <c r="I23" s="3">
        <f>+G23/D$5</f>
        <v>0.16639475569406265</v>
      </c>
      <c r="J23" s="5">
        <f>+(D$4*(1+I23))-D$4</f>
        <v>0.27039147800285179</v>
      </c>
      <c r="K23" s="1">
        <f>+J23*K$7/100</f>
        <v>811.17443400855541</v>
      </c>
    </row>
    <row r="24" spans="1:11" x14ac:dyDescent="0.35">
      <c r="A24">
        <f>+A22+1</f>
        <v>8</v>
      </c>
      <c r="B24" t="s">
        <v>7</v>
      </c>
      <c r="C24" s="2">
        <f>+B$1/B$2</f>
        <v>1600000</v>
      </c>
      <c r="D24" s="2">
        <f>+D23</f>
        <v>433916</v>
      </c>
      <c r="E24" s="2">
        <f t="shared" si="0"/>
        <v>28800000</v>
      </c>
      <c r="I24" s="4"/>
    </row>
    <row r="25" spans="1:11" x14ac:dyDescent="0.35">
      <c r="B25" t="s">
        <v>8</v>
      </c>
      <c r="D25" s="2">
        <v>420828</v>
      </c>
      <c r="E25" s="2">
        <f t="shared" si="0"/>
        <v>28800000</v>
      </c>
      <c r="G25" s="2">
        <f>+D25+D24+C24+C25</f>
        <v>2454744</v>
      </c>
      <c r="I25" s="3">
        <f>+G25/D$5</f>
        <v>0.16468586936438848</v>
      </c>
      <c r="J25" s="5">
        <f>+(D$4*(1+I25))-D$4</f>
        <v>0.26761453771713128</v>
      </c>
      <c r="K25" s="1">
        <f>+J25*K$7/100</f>
        <v>802.84361315139381</v>
      </c>
    </row>
    <row r="26" spans="1:11" x14ac:dyDescent="0.35">
      <c r="A26">
        <f>+A24+1</f>
        <v>9</v>
      </c>
      <c r="B26" t="s">
        <v>7</v>
      </c>
      <c r="C26" s="2">
        <f>+B$1/B$2</f>
        <v>1600000</v>
      </c>
      <c r="D26" s="2">
        <f>+D25</f>
        <v>420828</v>
      </c>
      <c r="E26" s="2">
        <f t="shared" si="0"/>
        <v>27200000</v>
      </c>
      <c r="I26" s="4"/>
    </row>
    <row r="27" spans="1:11" x14ac:dyDescent="0.35">
      <c r="B27" t="s">
        <v>8</v>
      </c>
      <c r="D27" s="2">
        <v>407036</v>
      </c>
      <c r="E27" s="2">
        <f t="shared" si="0"/>
        <v>27200000</v>
      </c>
      <c r="G27" s="2">
        <f>+D27+D26+C26+C27</f>
        <v>2427864</v>
      </c>
      <c r="I27" s="3">
        <f>+G27/D$5</f>
        <v>0.16288252198131523</v>
      </c>
      <c r="J27" s="5">
        <f>+(D$4*(1+I27))-D$4</f>
        <v>0.26468409821963723</v>
      </c>
      <c r="K27" s="1">
        <f>+J27*K$7/100</f>
        <v>794.05229465891171</v>
      </c>
    </row>
    <row r="28" spans="1:11" x14ac:dyDescent="0.35">
      <c r="A28">
        <f>+A26+1</f>
        <v>10</v>
      </c>
      <c r="B28" t="s">
        <v>7</v>
      </c>
      <c r="C28" s="2">
        <f>+B$1/B$2</f>
        <v>1600000</v>
      </c>
      <c r="D28" s="2">
        <f>+D27</f>
        <v>407036</v>
      </c>
      <c r="E28" s="2">
        <f t="shared" si="0"/>
        <v>25600000</v>
      </c>
      <c r="I28" s="4"/>
    </row>
    <row r="29" spans="1:11" x14ac:dyDescent="0.35">
      <c r="B29" t="s">
        <v>8</v>
      </c>
      <c r="D29" s="2">
        <v>392540</v>
      </c>
      <c r="E29" s="2">
        <f t="shared" si="0"/>
        <v>25600000</v>
      </c>
      <c r="G29" s="2">
        <f>+D29+D28+C28+C29</f>
        <v>2399576</v>
      </c>
      <c r="I29" s="3">
        <f>+G29/D$5</f>
        <v>0.16098471354484289</v>
      </c>
      <c r="J29" s="5">
        <f>+(D$4*(1+I29))-D$4</f>
        <v>0.26160015951036941</v>
      </c>
      <c r="K29" s="1">
        <f>+J29*K$7/100</f>
        <v>784.80047853110818</v>
      </c>
    </row>
    <row r="30" spans="1:11" x14ac:dyDescent="0.35">
      <c r="A30">
        <f>+A28+1</f>
        <v>11</v>
      </c>
      <c r="B30" t="s">
        <v>7</v>
      </c>
      <c r="C30" s="2">
        <f>+B$1/B$2</f>
        <v>1600000</v>
      </c>
      <c r="D30" s="2">
        <f>+D29</f>
        <v>392540</v>
      </c>
      <c r="E30" s="2">
        <f t="shared" si="0"/>
        <v>24000000</v>
      </c>
      <c r="I30" s="4"/>
    </row>
    <row r="31" spans="1:11" x14ac:dyDescent="0.35">
      <c r="B31" t="s">
        <v>8</v>
      </c>
      <c r="D31" s="2">
        <v>377340</v>
      </c>
      <c r="E31" s="2">
        <f t="shared" si="0"/>
        <v>24000000</v>
      </c>
      <c r="G31" s="2">
        <f>+D31+D30+C30+C31</f>
        <v>2369880</v>
      </c>
      <c r="I31" s="3">
        <f>+G31/D$5</f>
        <v>0.15899244405497151</v>
      </c>
      <c r="J31" s="5">
        <f>+(D$4*(1+I31))-D$4</f>
        <v>0.25836272158932871</v>
      </c>
      <c r="K31" s="1">
        <f>+J31*K$7/100</f>
        <v>775.0881647679862</v>
      </c>
    </row>
    <row r="32" spans="1:11" x14ac:dyDescent="0.35">
      <c r="A32">
        <f>+A30+1</f>
        <v>12</v>
      </c>
      <c r="B32" t="s">
        <v>7</v>
      </c>
      <c r="C32" s="2">
        <f>+B$1/B$2</f>
        <v>1600000</v>
      </c>
      <c r="D32" s="2">
        <f>+D31</f>
        <v>377340</v>
      </c>
      <c r="E32" s="2">
        <f t="shared" si="0"/>
        <v>22400000</v>
      </c>
      <c r="I32" s="4"/>
    </row>
    <row r="33" spans="1:11" x14ac:dyDescent="0.35">
      <c r="B33" t="s">
        <v>8</v>
      </c>
      <c r="D33" s="2">
        <v>359982</v>
      </c>
      <c r="E33" s="2">
        <f t="shared" si="0"/>
        <v>22400000</v>
      </c>
      <c r="G33" s="2">
        <f>+D33+D32+C32+C33</f>
        <v>2337322</v>
      </c>
      <c r="I33" s="3">
        <f>+G33/D$5</f>
        <v>0.15680816637275055</v>
      </c>
      <c r="J33" s="5">
        <f>+(D$4*(1+I33))-D$4</f>
        <v>0.25481327035571955</v>
      </c>
      <c r="K33" s="1">
        <f>+J33*K$7/100</f>
        <v>764.43981106715864</v>
      </c>
    </row>
    <row r="34" spans="1:11" x14ac:dyDescent="0.35">
      <c r="A34">
        <f>+A32+1</f>
        <v>13</v>
      </c>
      <c r="B34" t="s">
        <v>7</v>
      </c>
      <c r="C34" s="2">
        <f>+B$1/B$2</f>
        <v>1600000</v>
      </c>
      <c r="D34" s="2">
        <f>+D33</f>
        <v>359982</v>
      </c>
      <c r="E34" s="2">
        <f t="shared" si="0"/>
        <v>20800000</v>
      </c>
      <c r="I34" s="4"/>
    </row>
    <row r="35" spans="1:11" x14ac:dyDescent="0.35">
      <c r="B35" t="s">
        <v>8</v>
      </c>
      <c r="D35" s="2">
        <v>340776</v>
      </c>
      <c r="E35" s="2">
        <f t="shared" si="0"/>
        <v>20800000</v>
      </c>
      <c r="G35" s="2">
        <f>+D35+D34+C34+C35</f>
        <v>2300758</v>
      </c>
      <c r="I35" s="3">
        <f>+G35/D$5</f>
        <v>0.15435513089229333</v>
      </c>
      <c r="J35" s="5">
        <f>+(D$4*(1+I35))-D$4</f>
        <v>0.25082708769997653</v>
      </c>
      <c r="K35" s="1">
        <f>+J35*K$7/100</f>
        <v>752.48126309992961</v>
      </c>
    </row>
    <row r="36" spans="1:11" x14ac:dyDescent="0.35">
      <c r="A36">
        <f>+A34+1</f>
        <v>14</v>
      </c>
      <c r="B36" t="s">
        <v>7</v>
      </c>
      <c r="C36" s="2">
        <f>+B$1/B$2</f>
        <v>1600000</v>
      </c>
      <c r="D36" s="2">
        <f>+D35</f>
        <v>340776</v>
      </c>
      <c r="E36" s="2">
        <f t="shared" si="0"/>
        <v>19200000</v>
      </c>
      <c r="I36" s="4"/>
    </row>
    <row r="37" spans="1:11" x14ac:dyDescent="0.35">
      <c r="B37" t="s">
        <v>8</v>
      </c>
      <c r="D37" s="2">
        <v>319965</v>
      </c>
      <c r="E37" s="2">
        <f t="shared" si="0"/>
        <v>19200000</v>
      </c>
      <c r="G37" s="2">
        <f>+D37+D36+C36+C37</f>
        <v>2260741</v>
      </c>
      <c r="I37" s="3">
        <f>+G37/D$5</f>
        <v>0.15167043772903283</v>
      </c>
      <c r="J37" s="5">
        <f>+(D$4*(1+I37))-D$4</f>
        <v>0.24646446130967825</v>
      </c>
      <c r="K37" s="1">
        <f>+J37*K$7/100</f>
        <v>739.39338392903471</v>
      </c>
    </row>
    <row r="38" spans="1:11" x14ac:dyDescent="0.35">
      <c r="A38">
        <f>+A36+1</f>
        <v>15</v>
      </c>
      <c r="B38" t="s">
        <v>7</v>
      </c>
      <c r="C38" s="2">
        <f>+B$1/B$2</f>
        <v>1600000</v>
      </c>
      <c r="D38" s="2">
        <f>+D37</f>
        <v>319965</v>
      </c>
      <c r="E38" s="2">
        <f t="shared" si="0"/>
        <v>17600000</v>
      </c>
      <c r="I38" s="4"/>
    </row>
    <row r="39" spans="1:11" x14ac:dyDescent="0.35">
      <c r="B39" t="s">
        <v>8</v>
      </c>
      <c r="D39" s="2">
        <v>297746</v>
      </c>
      <c r="E39" s="2">
        <f t="shared" si="0"/>
        <v>17600000</v>
      </c>
      <c r="G39" s="2">
        <f>+D39+D38+C38+C39</f>
        <v>2217711</v>
      </c>
      <c r="I39" s="3">
        <f>+G39/D$5</f>
        <v>0.14878360596215628</v>
      </c>
      <c r="J39" s="5">
        <f>+(D$4*(1+I39))-D$4</f>
        <v>0.24177335968850411</v>
      </c>
      <c r="K39" s="1">
        <f>+J39*K$7/100</f>
        <v>725.32007906551223</v>
      </c>
    </row>
    <row r="40" spans="1:11" x14ac:dyDescent="0.35">
      <c r="A40">
        <f>+A38+1</f>
        <v>16</v>
      </c>
      <c r="B40" t="s">
        <v>7</v>
      </c>
      <c r="C40" s="2">
        <f>+B$1/B$2</f>
        <v>1600000</v>
      </c>
      <c r="D40" s="2">
        <f>+D39</f>
        <v>297746</v>
      </c>
      <c r="E40" s="2">
        <f t="shared" si="0"/>
        <v>16000000</v>
      </c>
      <c r="I40" s="4"/>
    </row>
    <row r="41" spans="1:11" x14ac:dyDescent="0.35">
      <c r="B41" t="s">
        <v>8</v>
      </c>
      <c r="D41" s="2">
        <v>274278</v>
      </c>
      <c r="E41" s="2">
        <f t="shared" si="0"/>
        <v>16000000</v>
      </c>
      <c r="G41" s="2">
        <f>+D41+D40+C40+C41</f>
        <v>2172024</v>
      </c>
      <c r="I41" s="3">
        <f>+G41/D$5</f>
        <v>0.14571851921027876</v>
      </c>
      <c r="J41" s="5">
        <f>+(D$4*(1+I41))-D$4</f>
        <v>0.23679259371670303</v>
      </c>
      <c r="K41" s="1">
        <f>+J41*K$7/100</f>
        <v>710.37778115010906</v>
      </c>
    </row>
    <row r="42" spans="1:11" x14ac:dyDescent="0.35">
      <c r="A42">
        <f>+A40+1</f>
        <v>17</v>
      </c>
      <c r="B42" t="s">
        <v>7</v>
      </c>
      <c r="C42" s="2">
        <f>+B$1/B$2</f>
        <v>1600000</v>
      </c>
      <c r="D42" s="2">
        <f>+D41</f>
        <v>274278</v>
      </c>
      <c r="E42" s="2">
        <f t="shared" si="0"/>
        <v>14400000</v>
      </c>
      <c r="I42" s="4"/>
    </row>
    <row r="43" spans="1:11" x14ac:dyDescent="0.35">
      <c r="B43" t="s">
        <v>8</v>
      </c>
      <c r="D43" s="2">
        <v>249858</v>
      </c>
      <c r="E43" s="2">
        <f t="shared" si="0"/>
        <v>14400000</v>
      </c>
      <c r="G43" s="2">
        <f>+D43+D42+C42+C43</f>
        <v>2124136</v>
      </c>
      <c r="I43" s="3">
        <f>+G43/D$5</f>
        <v>0.14250576997364886</v>
      </c>
      <c r="J43" s="5">
        <f>+(D$4*(1+I43))-D$4</f>
        <v>0.23157187620717945</v>
      </c>
      <c r="K43" s="1">
        <f>+J43*K$7/100</f>
        <v>694.71562862153837</v>
      </c>
    </row>
    <row r="44" spans="1:11" x14ac:dyDescent="0.35">
      <c r="A44">
        <f>+A42+1</f>
        <v>18</v>
      </c>
      <c r="B44" t="s">
        <v>7</v>
      </c>
      <c r="C44" s="2">
        <f>+B$1/B$2</f>
        <v>1600000</v>
      </c>
      <c r="D44" s="2">
        <f>+D43</f>
        <v>249858</v>
      </c>
      <c r="E44" s="2">
        <f t="shared" si="0"/>
        <v>12800000</v>
      </c>
      <c r="I44" s="4"/>
    </row>
    <row r="45" spans="1:11" x14ac:dyDescent="0.35">
      <c r="B45" t="s">
        <v>8</v>
      </c>
      <c r="D45" s="2">
        <v>224585</v>
      </c>
      <c r="E45" s="2">
        <f t="shared" si="0"/>
        <v>12800000</v>
      </c>
      <c r="G45" s="2">
        <f>+D45+D44+C44+C45</f>
        <v>2074443</v>
      </c>
      <c r="I45" s="3">
        <f>+G45/D$5</f>
        <v>0.13917192542353504</v>
      </c>
      <c r="J45" s="5">
        <f>+(D$4*(1+I45))-D$4</f>
        <v>0.22615437881324452</v>
      </c>
      <c r="K45" s="1">
        <f>+J45*K$7/100</f>
        <v>678.46313643973349</v>
      </c>
    </row>
    <row r="46" spans="1:11" x14ac:dyDescent="0.35">
      <c r="A46">
        <f>+A44+1</f>
        <v>19</v>
      </c>
      <c r="B46" t="s">
        <v>7</v>
      </c>
      <c r="C46" s="2">
        <f>+B$1/B$2</f>
        <v>1600000</v>
      </c>
      <c r="D46" s="2">
        <f>+D45</f>
        <v>224585</v>
      </c>
      <c r="E46" s="2">
        <f t="shared" si="0"/>
        <v>11200000</v>
      </c>
      <c r="I46" s="4"/>
    </row>
    <row r="47" spans="1:11" x14ac:dyDescent="0.35">
      <c r="B47" t="s">
        <v>8</v>
      </c>
      <c r="D47" s="2">
        <v>198541</v>
      </c>
      <c r="E47" s="2">
        <f t="shared" si="0"/>
        <v>11200000</v>
      </c>
      <c r="G47" s="2">
        <f>+D47+D46+C46+C47</f>
        <v>2023126</v>
      </c>
      <c r="I47" s="3">
        <f>+G47/D$5</f>
        <v>0.13572912863569392</v>
      </c>
      <c r="J47" s="5">
        <f>+(D$4*(1+I47))-D$4</f>
        <v>0.22055983403300261</v>
      </c>
      <c r="K47" s="1">
        <f>+J47*K$7/100</f>
        <v>661.67950209900778</v>
      </c>
    </row>
    <row r="48" spans="1:11" x14ac:dyDescent="0.35">
      <c r="A48">
        <f>+A46+1</f>
        <v>20</v>
      </c>
      <c r="B48" t="s">
        <v>7</v>
      </c>
      <c r="C48" s="2">
        <f>+B$1/B$2</f>
        <v>1600000</v>
      </c>
      <c r="D48" s="2">
        <f>+D47</f>
        <v>198541</v>
      </c>
      <c r="E48" s="2">
        <f t="shared" si="0"/>
        <v>9600000</v>
      </c>
      <c r="I48" s="4"/>
    </row>
    <row r="49" spans="1:11" x14ac:dyDescent="0.35">
      <c r="B49" t="s">
        <v>8</v>
      </c>
      <c r="D49" s="2">
        <v>171797</v>
      </c>
      <c r="E49" s="2">
        <f t="shared" si="0"/>
        <v>9600000</v>
      </c>
      <c r="G49" s="2">
        <f>+D49+D48+C48+C49</f>
        <v>1970338</v>
      </c>
      <c r="I49" s="3">
        <f>+G49/D$5</f>
        <v>0.1321876441990246</v>
      </c>
      <c r="J49" s="5">
        <f>+(D$4*(1+I49))-D$4</f>
        <v>0.21480492182341493</v>
      </c>
      <c r="K49" s="1">
        <f>+J49*K$7/100</f>
        <v>644.41476547024479</v>
      </c>
    </row>
    <row r="50" spans="1:11" x14ac:dyDescent="0.35">
      <c r="A50">
        <f>+A48+1</f>
        <v>21</v>
      </c>
      <c r="B50" t="s">
        <v>7</v>
      </c>
      <c r="C50" s="2">
        <f>+B$1/B$2</f>
        <v>1600000</v>
      </c>
      <c r="D50" s="2">
        <f>+D49</f>
        <v>171797</v>
      </c>
      <c r="E50" s="2">
        <f t="shared" si="0"/>
        <v>8000000</v>
      </c>
      <c r="I50" s="4"/>
    </row>
    <row r="51" spans="1:11" x14ac:dyDescent="0.35">
      <c r="B51" t="s">
        <v>8</v>
      </c>
      <c r="D51" s="2">
        <v>144413</v>
      </c>
      <c r="E51" s="2">
        <f t="shared" si="0"/>
        <v>8000000</v>
      </c>
      <c r="G51" s="2">
        <f>+D51+D50+C50+C51</f>
        <v>1916210</v>
      </c>
      <c r="I51" s="3">
        <f>+G51/D$5</f>
        <v>0.12855626074846699</v>
      </c>
      <c r="J51" s="5">
        <f>+(D$4*(1+I51))-D$4</f>
        <v>0.20890392371625888</v>
      </c>
      <c r="K51" s="1">
        <f>+J51*K$7/100</f>
        <v>626.71177114877662</v>
      </c>
    </row>
    <row r="52" spans="1:11" x14ac:dyDescent="0.35">
      <c r="A52">
        <f>+A50+1</f>
        <v>22</v>
      </c>
      <c r="B52" t="s">
        <v>7</v>
      </c>
      <c r="C52" s="2">
        <f>+B$1/B$2</f>
        <v>1600000</v>
      </c>
      <c r="D52" s="2">
        <f>+D51</f>
        <v>144413</v>
      </c>
      <c r="E52" s="2">
        <f t="shared" si="0"/>
        <v>6400000</v>
      </c>
      <c r="I52" s="4"/>
    </row>
    <row r="53" spans="1:11" x14ac:dyDescent="0.35">
      <c r="B53" t="s">
        <v>8</v>
      </c>
      <c r="D53" s="2">
        <v>116465</v>
      </c>
      <c r="E53" s="2">
        <f t="shared" si="0"/>
        <v>6400000</v>
      </c>
      <c r="G53" s="2">
        <f>+D53+D52+C52+C53</f>
        <v>1860878</v>
      </c>
      <c r="I53" s="3">
        <f>+G53/D$5</f>
        <v>0.12484410236304254</v>
      </c>
      <c r="J53" s="5">
        <f>+(D$4*(1+I53))-D$4</f>
        <v>0.20287166633994391</v>
      </c>
      <c r="K53" s="1">
        <f>+J53*K$7/100</f>
        <v>608.61499901983177</v>
      </c>
    </row>
    <row r="54" spans="1:11" x14ac:dyDescent="0.35">
      <c r="A54">
        <f>+A52+1</f>
        <v>23</v>
      </c>
      <c r="B54" t="s">
        <v>7</v>
      </c>
      <c r="C54" s="2">
        <f>+B$1/B$2</f>
        <v>1600000</v>
      </c>
      <c r="D54" s="2">
        <f>+D53</f>
        <v>116465</v>
      </c>
      <c r="E54" s="2">
        <f t="shared" si="0"/>
        <v>4800000</v>
      </c>
      <c r="I54" s="4"/>
    </row>
    <row r="55" spans="1:11" x14ac:dyDescent="0.35">
      <c r="B55" t="s">
        <v>8</v>
      </c>
      <c r="D55" s="2">
        <v>87996</v>
      </c>
      <c r="E55" s="2">
        <f t="shared" si="0"/>
        <v>4800000</v>
      </c>
      <c r="G55" s="2">
        <f>+D55+D54+C54+C55</f>
        <v>1804461</v>
      </c>
      <c r="I55" s="3">
        <f>+G55/D$5</f>
        <v>0.12105915261189509</v>
      </c>
      <c r="J55" s="5">
        <f>+(D$4*(1+I55))-D$4</f>
        <v>0.19672112299432953</v>
      </c>
      <c r="K55" s="1">
        <f>+J55*K$7/100</f>
        <v>590.16336898298857</v>
      </c>
    </row>
    <row r="56" spans="1:11" x14ac:dyDescent="0.35">
      <c r="A56">
        <f>+A54+1</f>
        <v>24</v>
      </c>
      <c r="B56" t="s">
        <v>7</v>
      </c>
      <c r="C56" s="2">
        <f>+B$1/B$2</f>
        <v>1600000</v>
      </c>
      <c r="D56" s="2">
        <f>+D55</f>
        <v>87996</v>
      </c>
      <c r="E56" s="2">
        <f t="shared" si="0"/>
        <v>3200000</v>
      </c>
      <c r="I56" s="4"/>
    </row>
    <row r="57" spans="1:11" x14ac:dyDescent="0.35">
      <c r="B57" t="s">
        <v>8</v>
      </c>
      <c r="D57" s="2">
        <v>59045</v>
      </c>
      <c r="E57" s="2">
        <f t="shared" si="0"/>
        <v>3200000</v>
      </c>
      <c r="G57" s="2">
        <f>+D57+D56+C56+C57</f>
        <v>1747041</v>
      </c>
      <c r="I57" s="3">
        <f>+G57/D$5</f>
        <v>0.11720691277796406</v>
      </c>
      <c r="J57" s="5">
        <f>+(D$4*(1+I57))-D$4</f>
        <v>0.19046123326419151</v>
      </c>
      <c r="K57" s="1">
        <f>+J57*K$7/100</f>
        <v>571.38369979257459</v>
      </c>
    </row>
    <row r="58" spans="1:11" x14ac:dyDescent="0.35">
      <c r="A58">
        <f>+A56+1</f>
        <v>25</v>
      </c>
      <c r="B58" t="s">
        <v>7</v>
      </c>
      <c r="C58" s="2">
        <f>+B$1/B$2</f>
        <v>1600000</v>
      </c>
      <c r="D58" s="2">
        <f>+D57</f>
        <v>59045</v>
      </c>
      <c r="E58" s="2">
        <f t="shared" si="0"/>
        <v>1600000</v>
      </c>
      <c r="I58" s="4"/>
    </row>
    <row r="59" spans="1:11" x14ac:dyDescent="0.35">
      <c r="B59" t="s">
        <v>8</v>
      </c>
      <c r="D59" s="2">
        <v>29646</v>
      </c>
      <c r="E59" s="2">
        <f t="shared" si="0"/>
        <v>1600000</v>
      </c>
      <c r="G59" s="2">
        <f>+D59+D58+C58+C59</f>
        <v>1688691</v>
      </c>
      <c r="I59" s="3">
        <f>+G59/D$5</f>
        <v>0.11329228034484189</v>
      </c>
      <c r="J59" s="5">
        <f>+(D$4*(1+I59))-D$4</f>
        <v>0.18409995556036818</v>
      </c>
      <c r="K59" s="1">
        <f>+J59*K$7/100</f>
        <v>552.2998666811045</v>
      </c>
    </row>
    <row r="60" spans="1:11" x14ac:dyDescent="0.35">
      <c r="A60">
        <f>+A58+1</f>
        <v>26</v>
      </c>
      <c r="B60" t="s">
        <v>7</v>
      </c>
      <c r="C60" s="2">
        <f>+B$1/B$2</f>
        <v>1600000</v>
      </c>
      <c r="D60" s="2">
        <f>+D59</f>
        <v>29646</v>
      </c>
      <c r="E60" s="2">
        <f t="shared" si="0"/>
        <v>0</v>
      </c>
      <c r="I60" s="4"/>
    </row>
    <row r="61" spans="1:11" x14ac:dyDescent="0.35">
      <c r="B61" t="s">
        <v>8</v>
      </c>
      <c r="G61" s="2">
        <f>+D61+D60+C60+C61</f>
        <v>1629646</v>
      </c>
      <c r="I61" s="3">
        <f>+G61/D$5</f>
        <v>0.10933102118436717</v>
      </c>
      <c r="J61" s="5">
        <f>+(D$4*(1+I61))-D$4</f>
        <v>0.17766290942459673</v>
      </c>
      <c r="K61" s="1">
        <f>+J61*K$7/100</f>
        <v>532.98872827379023</v>
      </c>
    </row>
    <row r="62" spans="1:11" x14ac:dyDescent="0.35">
      <c r="I62" s="4"/>
    </row>
    <row r="63" spans="1:11" x14ac:dyDescent="0.35">
      <c r="B63" t="s">
        <v>11</v>
      </c>
      <c r="C63" s="2">
        <f>SUM(C10:C62)</f>
        <v>40000000</v>
      </c>
      <c r="D63" s="2">
        <f>SUM(D10:D62)</f>
        <v>15848736</v>
      </c>
      <c r="G63" s="2">
        <f>SUM(G10:G62)</f>
        <v>55848736</v>
      </c>
      <c r="I63" s="3"/>
      <c r="K63" s="2">
        <f>SUM(K10:K62)</f>
        <v>18265.774761106786</v>
      </c>
    </row>
    <row r="64" spans="1:11" x14ac:dyDescent="0.35">
      <c r="I64" s="4"/>
    </row>
    <row r="65" spans="9:9" x14ac:dyDescent="0.35">
      <c r="I65" s="3"/>
    </row>
  </sheetData>
  <mergeCells count="3">
    <mergeCell ref="I7:I8"/>
    <mergeCell ref="J7:J8"/>
    <mergeCell ref="G7:G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5"/>
  <sheetViews>
    <sheetView workbookViewId="0">
      <selection activeCell="E19" sqref="E19"/>
    </sheetView>
  </sheetViews>
  <sheetFormatPr defaultRowHeight="14.5" x14ac:dyDescent="0.35"/>
  <cols>
    <col min="1" max="1" width="11.7265625" customWidth="1"/>
    <col min="2" max="2" width="14.26953125" bestFit="1" customWidth="1"/>
    <col min="3" max="3" width="13.26953125" style="2" bestFit="1" customWidth="1"/>
    <col min="4" max="4" width="12.1796875" style="2" bestFit="1" customWidth="1"/>
    <col min="5" max="5" width="18.26953125" style="2" customWidth="1"/>
    <col min="7" max="7" width="13.26953125" style="2" bestFit="1" customWidth="1"/>
    <col min="9" max="9" width="17.54296875" customWidth="1"/>
    <col min="10" max="10" width="13" style="5" customWidth="1"/>
    <col min="11" max="11" width="14.54296875" style="5" customWidth="1"/>
    <col min="12" max="12" width="9.1796875" style="5"/>
    <col min="16" max="16" width="15.26953125" style="2" bestFit="1" customWidth="1"/>
  </cols>
  <sheetData>
    <row r="1" spans="1:12" x14ac:dyDescent="0.35">
      <c r="A1" t="s">
        <v>10</v>
      </c>
      <c r="B1" s="2">
        <v>40000000</v>
      </c>
    </row>
    <row r="2" spans="1:12" x14ac:dyDescent="0.35">
      <c r="A2" t="s">
        <v>9</v>
      </c>
      <c r="B2">
        <v>20</v>
      </c>
    </row>
    <row r="3" spans="1:12" x14ac:dyDescent="0.35">
      <c r="A3" t="s">
        <v>0</v>
      </c>
      <c r="B3" s="3">
        <v>2.6200000000000001E-2</v>
      </c>
      <c r="I3" s="2"/>
    </row>
    <row r="4" spans="1:12" x14ac:dyDescent="0.35">
      <c r="A4" t="s">
        <v>17</v>
      </c>
      <c r="C4"/>
      <c r="D4" s="5">
        <v>1.625</v>
      </c>
      <c r="E4" s="2" t="s">
        <v>18</v>
      </c>
      <c r="I4" s="3"/>
      <c r="K4" s="7"/>
    </row>
    <row r="5" spans="1:12" x14ac:dyDescent="0.35">
      <c r="A5" s="9" t="s">
        <v>2</v>
      </c>
      <c r="B5" s="9"/>
      <c r="C5" s="9"/>
      <c r="D5" s="10">
        <v>14905614</v>
      </c>
      <c r="I5" s="3"/>
    </row>
    <row r="6" spans="1:12" x14ac:dyDescent="0.35">
      <c r="A6" s="9"/>
      <c r="B6" s="9"/>
      <c r="C6" s="9"/>
      <c r="D6" s="10"/>
      <c r="I6" s="3"/>
      <c r="K6" s="15" t="s">
        <v>15</v>
      </c>
    </row>
    <row r="7" spans="1:12" x14ac:dyDescent="0.35">
      <c r="A7" s="11"/>
      <c r="B7" s="11"/>
      <c r="C7" s="12"/>
      <c r="D7" s="12"/>
      <c r="E7" s="12"/>
      <c r="F7" s="11"/>
      <c r="G7" s="394" t="s">
        <v>13</v>
      </c>
      <c r="H7" s="11"/>
      <c r="I7" s="396" t="s">
        <v>5</v>
      </c>
      <c r="J7" s="397" t="s">
        <v>16</v>
      </c>
      <c r="K7" s="16">
        <v>300000</v>
      </c>
    </row>
    <row r="8" spans="1:12" ht="15" thickBot="1" x14ac:dyDescent="0.4">
      <c r="A8" s="13" t="s">
        <v>3</v>
      </c>
      <c r="B8" s="13" t="s">
        <v>6</v>
      </c>
      <c r="C8" s="14" t="s">
        <v>1</v>
      </c>
      <c r="D8" s="14" t="s">
        <v>0</v>
      </c>
      <c r="E8" s="14" t="s">
        <v>12</v>
      </c>
      <c r="F8" s="13"/>
      <c r="G8" s="395"/>
      <c r="H8" s="13"/>
      <c r="I8" s="387"/>
      <c r="J8" s="398"/>
      <c r="K8" s="17" t="s">
        <v>4</v>
      </c>
      <c r="L8" s="6"/>
    </row>
    <row r="9" spans="1:12" x14ac:dyDescent="0.35">
      <c r="E9" s="2">
        <f>+B1</f>
        <v>40000000</v>
      </c>
      <c r="L9" s="2">
        <f>+' Cost per Eq Pupil'!D15</f>
        <v>17904.444344633212</v>
      </c>
    </row>
    <row r="10" spans="1:12" x14ac:dyDescent="0.35">
      <c r="A10">
        <v>1</v>
      </c>
      <c r="B10" t="s">
        <v>7</v>
      </c>
      <c r="D10" s="2">
        <v>300926</v>
      </c>
      <c r="E10" s="2">
        <f>+E9-C10</f>
        <v>40000000</v>
      </c>
      <c r="I10" s="4"/>
    </row>
    <row r="11" spans="1:12" x14ac:dyDescent="0.35">
      <c r="B11" t="s">
        <v>8</v>
      </c>
      <c r="D11" s="2">
        <v>447658</v>
      </c>
      <c r="E11" s="2">
        <f t="shared" ref="E11:E51" si="0">+E10-C11</f>
        <v>40000000</v>
      </c>
      <c r="G11" s="2">
        <f>+D11+D10+C10+C11</f>
        <v>748584</v>
      </c>
      <c r="I11" s="3">
        <f>+G11/D$5</f>
        <v>5.0221614486997988E-2</v>
      </c>
      <c r="J11" s="5">
        <f>+(D$4*(1+I11))-D$4</f>
        <v>8.161012354137176E-2</v>
      </c>
      <c r="K11" s="1">
        <f>+J11*K$7/100</f>
        <v>244.83037062411529</v>
      </c>
      <c r="L11" s="2">
        <f>+(G11+' Cost per Eq Pupil'!D$13)/' Cost per Eq Pupil'!D$11</f>
        <v>18745.011621770325</v>
      </c>
    </row>
    <row r="12" spans="1:12" x14ac:dyDescent="0.35">
      <c r="A12">
        <f>+A10+1</f>
        <v>2</v>
      </c>
      <c r="B12" t="s">
        <v>7</v>
      </c>
      <c r="C12" s="2">
        <f>+B$1/B$2</f>
        <v>2000000</v>
      </c>
      <c r="D12" s="2">
        <f>+D11</f>
        <v>447658</v>
      </c>
      <c r="E12" s="2">
        <f t="shared" si="0"/>
        <v>38000000</v>
      </c>
      <c r="I12" s="4"/>
    </row>
    <row r="13" spans="1:12" x14ac:dyDescent="0.35">
      <c r="B13" t="s">
        <v>8</v>
      </c>
      <c r="D13" s="2">
        <v>434158</v>
      </c>
      <c r="E13" s="2">
        <f t="shared" si="0"/>
        <v>38000000</v>
      </c>
      <c r="G13" s="2">
        <f>+D13+D12+C12+C13</f>
        <v>2881816</v>
      </c>
      <c r="I13" s="3">
        <f>+G13/D$5</f>
        <v>0.1933376243340261</v>
      </c>
      <c r="J13" s="5">
        <f>+(D$4*(1+I13))-D$4</f>
        <v>0.31417363954279254</v>
      </c>
      <c r="K13" s="1">
        <f>+J13*K$7/100</f>
        <v>942.52091862837756</v>
      </c>
      <c r="L13" s="2">
        <f>+(G13+' Cost per Eq Pupil'!D$13)/' Cost per Eq Pupil'!D$11</f>
        <v>21140.367405145018</v>
      </c>
    </row>
    <row r="14" spans="1:12" x14ac:dyDescent="0.35">
      <c r="A14">
        <f>+A12+1</f>
        <v>3</v>
      </c>
      <c r="B14" t="s">
        <v>7</v>
      </c>
      <c r="C14" s="2">
        <f>+B$1/B$2</f>
        <v>2000000</v>
      </c>
      <c r="D14" s="2">
        <f>+D13</f>
        <v>434158</v>
      </c>
      <c r="E14" s="2">
        <f t="shared" si="0"/>
        <v>36000000</v>
      </c>
      <c r="I14" s="4"/>
    </row>
    <row r="15" spans="1:12" x14ac:dyDescent="0.35">
      <c r="B15" t="s">
        <v>8</v>
      </c>
      <c r="D15" s="2">
        <v>420358</v>
      </c>
      <c r="E15" s="2">
        <f t="shared" si="0"/>
        <v>36000000</v>
      </c>
      <c r="G15" s="2">
        <f>+D15+D14+C14+C15</f>
        <v>2854516</v>
      </c>
      <c r="I15" s="3">
        <f>+G15/D$5</f>
        <v>0.19150609964809232</v>
      </c>
      <c r="J15" s="5">
        <f>+(D$4*(1+I15))-D$4</f>
        <v>0.3111974119281502</v>
      </c>
      <c r="K15" s="1">
        <f>+J15*K$7/100</f>
        <v>933.59223578445062</v>
      </c>
      <c r="L15" s="2">
        <f>+(G15+' Cost per Eq Pupil'!D$13)/' Cost per Eq Pupil'!D$11</f>
        <v>21109.712880514726</v>
      </c>
    </row>
    <row r="16" spans="1:12" x14ac:dyDescent="0.35">
      <c r="A16">
        <f>+A14+1</f>
        <v>4</v>
      </c>
      <c r="B16" t="s">
        <v>7</v>
      </c>
      <c r="C16" s="2">
        <f>+B$1/B$2</f>
        <v>2000000</v>
      </c>
      <c r="D16" s="2">
        <f>+D15</f>
        <v>420358</v>
      </c>
      <c r="E16" s="2">
        <f t="shared" si="0"/>
        <v>34000000</v>
      </c>
      <c r="I16" s="4"/>
    </row>
    <row r="17" spans="1:11" x14ac:dyDescent="0.35">
      <c r="B17" t="s">
        <v>8</v>
      </c>
      <c r="D17" s="2">
        <v>406291</v>
      </c>
      <c r="E17" s="2">
        <f t="shared" si="0"/>
        <v>34000000</v>
      </c>
      <c r="G17" s="2">
        <f>+D17+D16+C16+C17</f>
        <v>2826649</v>
      </c>
      <c r="I17" s="3">
        <f>+G17/D$5</f>
        <v>0.18963653560329685</v>
      </c>
      <c r="J17" s="5">
        <f>+(D$4*(1+I17))-D$4</f>
        <v>0.30815937035535756</v>
      </c>
      <c r="K17" s="1">
        <f>+J17*K$7/100</f>
        <v>924.47811106607276</v>
      </c>
    </row>
    <row r="18" spans="1:11" x14ac:dyDescent="0.35">
      <c r="A18">
        <f>+A16+1</f>
        <v>5</v>
      </c>
      <c r="B18" t="s">
        <v>7</v>
      </c>
      <c r="C18" s="2">
        <f>+B$1/B$2</f>
        <v>2000000</v>
      </c>
      <c r="D18" s="2">
        <f>+D17</f>
        <v>406291</v>
      </c>
      <c r="E18" s="2">
        <f t="shared" si="0"/>
        <v>32000000</v>
      </c>
      <c r="I18" s="4"/>
    </row>
    <row r="19" spans="1:11" x14ac:dyDescent="0.35">
      <c r="B19" t="s">
        <v>8</v>
      </c>
      <c r="D19" s="2">
        <v>391958</v>
      </c>
      <c r="E19" s="2">
        <f t="shared" si="0"/>
        <v>32000000</v>
      </c>
      <c r="G19" s="2">
        <f>+D19+D18+C18+C19</f>
        <v>2798249</v>
      </c>
      <c r="I19" s="3">
        <f>+G19/D$5</f>
        <v>0.18773121321939507</v>
      </c>
      <c r="J19" s="5">
        <f>+(D$4*(1+I19))-D$4</f>
        <v>0.30506322148151699</v>
      </c>
      <c r="K19" s="1">
        <f>+J19*K$7/100</f>
        <v>915.189664444551</v>
      </c>
    </row>
    <row r="20" spans="1:11" x14ac:dyDescent="0.35">
      <c r="A20">
        <f>+A18+1</f>
        <v>6</v>
      </c>
      <c r="B20" t="s">
        <v>7</v>
      </c>
      <c r="C20" s="2">
        <f>+B$1/B$2</f>
        <v>2000000</v>
      </c>
      <c r="D20" s="2">
        <f>+D19</f>
        <v>391958</v>
      </c>
      <c r="E20" s="2">
        <f t="shared" si="0"/>
        <v>30000000</v>
      </c>
      <c r="I20" s="4"/>
    </row>
    <row r="21" spans="1:11" x14ac:dyDescent="0.35">
      <c r="B21" t="s">
        <v>8</v>
      </c>
      <c r="D21" s="2">
        <v>377358</v>
      </c>
      <c r="E21" s="2">
        <f t="shared" si="0"/>
        <v>30000000</v>
      </c>
      <c r="G21" s="2">
        <f>+D21+D20+C20+C21</f>
        <v>2769316</v>
      </c>
      <c r="I21" s="3">
        <f>+G21/D$5</f>
        <v>0.18579013249638693</v>
      </c>
      <c r="J21" s="5">
        <f>+(D$4*(1+I21))-D$4</f>
        <v>0.3019089653066287</v>
      </c>
      <c r="K21" s="1">
        <f>+J21*K$7/100</f>
        <v>905.72689591988615</v>
      </c>
    </row>
    <row r="22" spans="1:11" x14ac:dyDescent="0.35">
      <c r="A22">
        <f>+A20+1</f>
        <v>7</v>
      </c>
      <c r="B22" t="s">
        <v>7</v>
      </c>
      <c r="C22" s="2">
        <f>+B$1/B$2</f>
        <v>2000000</v>
      </c>
      <c r="D22" s="2">
        <f>+D21</f>
        <v>377358</v>
      </c>
      <c r="E22" s="2">
        <f t="shared" si="0"/>
        <v>28000000</v>
      </c>
      <c r="I22" s="4"/>
    </row>
    <row r="23" spans="1:11" x14ac:dyDescent="0.35">
      <c r="B23" t="s">
        <v>8</v>
      </c>
      <c r="D23" s="2">
        <v>361878</v>
      </c>
      <c r="E23" s="2">
        <f t="shared" si="0"/>
        <v>28000000</v>
      </c>
      <c r="G23" s="2">
        <f>+D23+D22+C22+C23</f>
        <v>2739236</v>
      </c>
      <c r="I23" s="3">
        <f>+G23/D$5</f>
        <v>0.18377210090104307</v>
      </c>
      <c r="J23" s="5">
        <f>+(D$4*(1+I23))-D$4</f>
        <v>0.29862966396419499</v>
      </c>
      <c r="K23" s="1">
        <f>+J23*K$7/100</f>
        <v>895.88899189258507</v>
      </c>
    </row>
    <row r="24" spans="1:11" x14ac:dyDescent="0.35">
      <c r="A24">
        <f>+A22+1</f>
        <v>8</v>
      </c>
      <c r="B24" t="s">
        <v>7</v>
      </c>
      <c r="C24" s="2">
        <f>+B$1/B$2</f>
        <v>2000000</v>
      </c>
      <c r="D24" s="2">
        <f>+D23</f>
        <v>361878</v>
      </c>
      <c r="E24" s="2">
        <f t="shared" si="0"/>
        <v>26000000</v>
      </c>
      <c r="I24" s="4"/>
    </row>
    <row r="25" spans="1:11" x14ac:dyDescent="0.35">
      <c r="B25" t="s">
        <v>8</v>
      </c>
      <c r="D25" s="2">
        <v>345518</v>
      </c>
      <c r="E25" s="2">
        <f t="shared" si="0"/>
        <v>26000000</v>
      </c>
      <c r="G25" s="2">
        <f>+D25+D24+C24+C25</f>
        <v>2707396</v>
      </c>
      <c r="I25" s="3">
        <f>+G25/D$5</f>
        <v>0.18163599298895033</v>
      </c>
      <c r="J25" s="5">
        <f>+(D$4*(1+I25))-D$4</f>
        <v>0.29515848860704441</v>
      </c>
      <c r="K25" s="1">
        <f>+J25*K$7/100</f>
        <v>885.4754658211333</v>
      </c>
    </row>
    <row r="26" spans="1:11" x14ac:dyDescent="0.35">
      <c r="A26">
        <f>+A24+1</f>
        <v>9</v>
      </c>
      <c r="B26" t="s">
        <v>7</v>
      </c>
      <c r="C26" s="2">
        <f>+B$1/B$2</f>
        <v>2000000</v>
      </c>
      <c r="D26" s="2">
        <f>+D25</f>
        <v>345518</v>
      </c>
      <c r="E26" s="2">
        <f t="shared" si="0"/>
        <v>24000000</v>
      </c>
      <c r="I26" s="4"/>
    </row>
    <row r="27" spans="1:11" x14ac:dyDescent="0.35">
      <c r="B27" t="s">
        <v>8</v>
      </c>
      <c r="D27" s="2">
        <v>328278</v>
      </c>
      <c r="E27" s="2">
        <f t="shared" si="0"/>
        <v>24000000</v>
      </c>
      <c r="G27" s="2">
        <f>+D27+D26+C26+C27</f>
        <v>2673796</v>
      </c>
      <c r="I27" s="3">
        <f>+G27/D$5</f>
        <v>0.17938180876010879</v>
      </c>
      <c r="J27" s="5">
        <f>+(D$4*(1+I27))-D$4</f>
        <v>0.29149543923517696</v>
      </c>
      <c r="K27" s="1">
        <f>+J27*K$7/100</f>
        <v>874.48631770553084</v>
      </c>
    </row>
    <row r="28" spans="1:11" x14ac:dyDescent="0.35">
      <c r="A28">
        <f>+A26+1</f>
        <v>10</v>
      </c>
      <c r="B28" t="s">
        <v>7</v>
      </c>
      <c r="C28" s="2">
        <f>+B$1/B$2</f>
        <v>2000000</v>
      </c>
      <c r="D28" s="2">
        <f>+D27</f>
        <v>328278</v>
      </c>
      <c r="E28" s="2">
        <f t="shared" si="0"/>
        <v>22000000</v>
      </c>
      <c r="I28" s="4"/>
    </row>
    <row r="29" spans="1:11" x14ac:dyDescent="0.35">
      <c r="B29" t="s">
        <v>8</v>
      </c>
      <c r="D29" s="2">
        <v>310158</v>
      </c>
      <c r="E29" s="2">
        <f t="shared" si="0"/>
        <v>22000000</v>
      </c>
      <c r="G29" s="2">
        <f>+D29+D28+C28+C29</f>
        <v>2638436</v>
      </c>
      <c r="I29" s="3">
        <f>+G29/D$5</f>
        <v>0.17700954821451836</v>
      </c>
      <c r="J29" s="5">
        <f>+(D$4*(1+I29))-D$4</f>
        <v>0.2876405158485924</v>
      </c>
      <c r="K29" s="1">
        <f>+J29*K$7/100</f>
        <v>862.92154754577723</v>
      </c>
    </row>
    <row r="30" spans="1:11" x14ac:dyDescent="0.35">
      <c r="A30">
        <f>+A28+1</f>
        <v>11</v>
      </c>
      <c r="B30" t="s">
        <v>7</v>
      </c>
      <c r="C30" s="2">
        <f>+B$1/B$2</f>
        <v>2000000</v>
      </c>
      <c r="D30" s="2">
        <f>+D29</f>
        <v>310158</v>
      </c>
      <c r="E30" s="2">
        <f t="shared" si="0"/>
        <v>20000000</v>
      </c>
      <c r="I30" s="4"/>
    </row>
    <row r="31" spans="1:11" x14ac:dyDescent="0.35">
      <c r="B31" t="s">
        <v>8</v>
      </c>
      <c r="D31" s="2">
        <v>291158</v>
      </c>
      <c r="E31" s="2">
        <f t="shared" si="0"/>
        <v>20000000</v>
      </c>
      <c r="G31" s="2">
        <f>+D31+D30+C30+C31</f>
        <v>2601316</v>
      </c>
      <c r="I31" s="3">
        <f>+G31/D$5</f>
        <v>0.17451921135217913</v>
      </c>
      <c r="J31" s="5">
        <f>+(D$4*(1+I31))-D$4</f>
        <v>0.2835937184472912</v>
      </c>
      <c r="K31" s="1">
        <f>+J31*K$7/100</f>
        <v>850.7811553418735</v>
      </c>
    </row>
    <row r="32" spans="1:11" x14ac:dyDescent="0.35">
      <c r="A32">
        <f>+A30+1</f>
        <v>12</v>
      </c>
      <c r="B32" t="s">
        <v>7</v>
      </c>
      <c r="C32" s="2">
        <f>+B$1/B$2</f>
        <v>2000000</v>
      </c>
      <c r="D32" s="2">
        <f>+D31</f>
        <v>291158</v>
      </c>
      <c r="E32" s="2">
        <f t="shared" si="0"/>
        <v>18000000</v>
      </c>
      <c r="I32" s="4"/>
    </row>
    <row r="33" spans="1:11" x14ac:dyDescent="0.35">
      <c r="B33" t="s">
        <v>8</v>
      </c>
      <c r="D33" s="2">
        <v>269461</v>
      </c>
      <c r="E33" s="2">
        <f t="shared" si="0"/>
        <v>18000000</v>
      </c>
      <c r="G33" s="2">
        <f>+D33+D32+C32+C33</f>
        <v>2560619</v>
      </c>
      <c r="I33" s="3">
        <f>+G33/D$5</f>
        <v>0.17178889779381112</v>
      </c>
      <c r="J33" s="5">
        <f>+(D$4*(1+I33))-D$4</f>
        <v>0.27915695891494297</v>
      </c>
      <c r="K33" s="1">
        <f>+J33*K$7/100</f>
        <v>837.47087674482884</v>
      </c>
    </row>
    <row r="34" spans="1:11" x14ac:dyDescent="0.35">
      <c r="A34">
        <f>+A32+1</f>
        <v>13</v>
      </c>
      <c r="B34" t="s">
        <v>7</v>
      </c>
      <c r="C34" s="2">
        <f>+B$1/B$2</f>
        <v>2000000</v>
      </c>
      <c r="D34" s="2">
        <f>+D33</f>
        <v>269461</v>
      </c>
      <c r="E34" s="2">
        <f t="shared" si="0"/>
        <v>16000000</v>
      </c>
      <c r="I34" s="4"/>
    </row>
    <row r="35" spans="1:11" x14ac:dyDescent="0.35">
      <c r="B35" t="s">
        <v>8</v>
      </c>
      <c r="D35" s="2">
        <v>245453</v>
      </c>
      <c r="E35" s="2">
        <f t="shared" si="0"/>
        <v>16000000</v>
      </c>
      <c r="G35" s="2">
        <f>+D35+D34+C34+C35</f>
        <v>2514914</v>
      </c>
      <c r="I35" s="3">
        <f>+G35/D$5</f>
        <v>0.16872260344323958</v>
      </c>
      <c r="J35" s="5">
        <f>+(D$4*(1+I35))-D$4</f>
        <v>0.27417423059526436</v>
      </c>
      <c r="K35" s="1">
        <f>+J35*K$7/100</f>
        <v>822.52269178579309</v>
      </c>
    </row>
    <row r="36" spans="1:11" x14ac:dyDescent="0.35">
      <c r="A36">
        <f>+A34+1</f>
        <v>14</v>
      </c>
      <c r="B36" t="s">
        <v>7</v>
      </c>
      <c r="C36" s="2">
        <f>+B$1/B$2</f>
        <v>2000000</v>
      </c>
      <c r="D36" s="2">
        <f>+D35</f>
        <v>245453</v>
      </c>
      <c r="E36" s="2">
        <f t="shared" si="0"/>
        <v>14000000</v>
      </c>
      <c r="I36" s="4"/>
    </row>
    <row r="37" spans="1:11" x14ac:dyDescent="0.35">
      <c r="B37" t="s">
        <v>8</v>
      </c>
      <c r="D37" s="2">
        <v>219439</v>
      </c>
      <c r="E37" s="2">
        <f t="shared" si="0"/>
        <v>14000000</v>
      </c>
      <c r="G37" s="2">
        <f>+D37+D36+C36+C37</f>
        <v>2464892</v>
      </c>
      <c r="I37" s="3">
        <f>+G37/D$5</f>
        <v>0.16536668667255169</v>
      </c>
      <c r="J37" s="5">
        <f>+(D$4*(1+I37))-D$4</f>
        <v>0.26872086584289634</v>
      </c>
      <c r="K37" s="1">
        <f>+J37*K$7/100</f>
        <v>806.16259752868905</v>
      </c>
    </row>
    <row r="38" spans="1:11" x14ac:dyDescent="0.35">
      <c r="A38">
        <f>+A36+1</f>
        <v>15</v>
      </c>
      <c r="B38" t="s">
        <v>7</v>
      </c>
      <c r="C38" s="2">
        <f>+B$1/B$2</f>
        <v>2000000</v>
      </c>
      <c r="D38" s="2">
        <f>+D37</f>
        <v>219439</v>
      </c>
      <c r="E38" s="2">
        <f t="shared" si="0"/>
        <v>12000000</v>
      </c>
      <c r="I38" s="4"/>
    </row>
    <row r="39" spans="1:11" x14ac:dyDescent="0.35">
      <c r="B39" t="s">
        <v>8</v>
      </c>
      <c r="D39" s="2">
        <v>191665</v>
      </c>
      <c r="E39" s="2">
        <f t="shared" si="0"/>
        <v>12000000</v>
      </c>
      <c r="G39" s="2">
        <f>+D39+D38+C38+C39</f>
        <v>2411104</v>
      </c>
      <c r="I39" s="3">
        <f>+G39/D$5</f>
        <v>0.16175811341954782</v>
      </c>
      <c r="J39" s="5">
        <f>+(D$4*(1+I39))-D$4</f>
        <v>0.26285693430676527</v>
      </c>
      <c r="K39" s="1">
        <f>+J39*K$7/100</f>
        <v>788.57080292029582</v>
      </c>
    </row>
    <row r="40" spans="1:11" x14ac:dyDescent="0.35">
      <c r="A40">
        <f>+A38+1</f>
        <v>16</v>
      </c>
      <c r="B40" t="s">
        <v>7</v>
      </c>
      <c r="C40" s="2">
        <f>+B$1/B$2</f>
        <v>2000000</v>
      </c>
      <c r="D40" s="2">
        <f>+D39</f>
        <v>191665</v>
      </c>
      <c r="E40" s="2">
        <f t="shared" si="0"/>
        <v>10000000</v>
      </c>
      <c r="I40" s="4"/>
    </row>
    <row r="41" spans="1:11" x14ac:dyDescent="0.35">
      <c r="B41" t="s">
        <v>8</v>
      </c>
      <c r="D41" s="2">
        <v>162331</v>
      </c>
      <c r="E41" s="2">
        <f t="shared" si="0"/>
        <v>10000000</v>
      </c>
      <c r="G41" s="2">
        <f>+D41+D40+C40+C41</f>
        <v>2353996</v>
      </c>
      <c r="I41" s="3">
        <f>+G41/D$5</f>
        <v>0.1579268052963132</v>
      </c>
      <c r="J41" s="5">
        <f>+(D$4*(1+I41))-D$4</f>
        <v>0.25663105860650903</v>
      </c>
      <c r="K41" s="1">
        <f>+J41*K$7/100</f>
        <v>769.89317581952707</v>
      </c>
    </row>
    <row r="42" spans="1:11" x14ac:dyDescent="0.35">
      <c r="A42">
        <f>+A40+1</f>
        <v>17</v>
      </c>
      <c r="B42" t="s">
        <v>7</v>
      </c>
      <c r="C42" s="2">
        <f>+B$1/B$2</f>
        <v>2000000</v>
      </c>
      <c r="D42" s="2">
        <f>+D41</f>
        <v>162331</v>
      </c>
      <c r="E42" s="2">
        <f t="shared" si="0"/>
        <v>8000000</v>
      </c>
      <c r="I42" s="4"/>
    </row>
    <row r="43" spans="1:11" x14ac:dyDescent="0.35">
      <c r="B43" t="s">
        <v>8</v>
      </c>
      <c r="D43" s="2">
        <v>131806</v>
      </c>
      <c r="E43" s="2">
        <f t="shared" si="0"/>
        <v>8000000</v>
      </c>
      <c r="G43" s="2">
        <f>+D43+D42+C42+C43</f>
        <v>2294137</v>
      </c>
      <c r="I43" s="3">
        <f>+G43/D$5</f>
        <v>0.15391093583934215</v>
      </c>
      <c r="J43" s="5">
        <f>+(D$4*(1+I43))-D$4</f>
        <v>0.25010527073893107</v>
      </c>
      <c r="K43" s="1">
        <f>+J43*K$7/100</f>
        <v>750.31581221679323</v>
      </c>
    </row>
    <row r="44" spans="1:11" x14ac:dyDescent="0.35">
      <c r="A44">
        <f>+A42+1</f>
        <v>18</v>
      </c>
      <c r="B44" t="s">
        <v>7</v>
      </c>
      <c r="C44" s="2">
        <f>+B$1/B$2</f>
        <v>2000000</v>
      </c>
      <c r="D44" s="2">
        <f>+D43</f>
        <v>131806</v>
      </c>
      <c r="E44" s="2">
        <f t="shared" si="0"/>
        <v>6000000</v>
      </c>
      <c r="I44" s="4"/>
    </row>
    <row r="45" spans="1:11" x14ac:dyDescent="0.35">
      <c r="B45" t="s">
        <v>8</v>
      </c>
      <c r="D45" s="2">
        <v>100215</v>
      </c>
      <c r="E45" s="2">
        <f t="shared" si="0"/>
        <v>6000000</v>
      </c>
      <c r="G45" s="2">
        <f>+D45+D44+C44+C45</f>
        <v>2232021</v>
      </c>
      <c r="I45" s="3">
        <f>+G45/D$5</f>
        <v>0.14974364692390396</v>
      </c>
      <c r="J45" s="5">
        <f>+(D$4*(1+I45))-D$4</f>
        <v>0.24333342625134402</v>
      </c>
      <c r="K45" s="1">
        <f>+J45*K$7/100</f>
        <v>730.00027875403202</v>
      </c>
    </row>
    <row r="46" spans="1:11" x14ac:dyDescent="0.35">
      <c r="A46">
        <f>+A44+1</f>
        <v>19</v>
      </c>
      <c r="B46" t="s">
        <v>7</v>
      </c>
      <c r="C46" s="2">
        <f>+B$1/B$2</f>
        <v>2000000</v>
      </c>
      <c r="D46" s="2">
        <f>+D45</f>
        <v>100215</v>
      </c>
      <c r="E46" s="2">
        <f t="shared" si="0"/>
        <v>4000000</v>
      </c>
      <c r="I46" s="4"/>
    </row>
    <row r="47" spans="1:11" x14ac:dyDescent="0.35">
      <c r="B47" t="s">
        <v>8</v>
      </c>
      <c r="D47" s="2">
        <v>67660</v>
      </c>
      <c r="E47" s="2">
        <f t="shared" si="0"/>
        <v>4000000</v>
      </c>
      <c r="G47" s="2">
        <f>+D47+D46+C46+C47</f>
        <v>2167875</v>
      </c>
      <c r="I47" s="3">
        <f>+G47/D$5</f>
        <v>0.14544016771130663</v>
      </c>
      <c r="J47" s="5">
        <f>+(D$4*(1+I47))-D$4</f>
        <v>0.2363402725308732</v>
      </c>
      <c r="K47" s="1">
        <f>+J47*K$7/100</f>
        <v>709.02081759261955</v>
      </c>
    </row>
    <row r="48" spans="1:11" x14ac:dyDescent="0.35">
      <c r="A48">
        <f>+A46+1</f>
        <v>20</v>
      </c>
      <c r="B48" t="s">
        <v>7</v>
      </c>
      <c r="C48" s="2">
        <f>+B$1/B$2</f>
        <v>2000000</v>
      </c>
      <c r="D48" s="2">
        <f>+D47</f>
        <v>67660</v>
      </c>
      <c r="E48" s="2">
        <f t="shared" si="0"/>
        <v>2000000</v>
      </c>
      <c r="I48" s="4"/>
    </row>
    <row r="49" spans="1:11" x14ac:dyDescent="0.35">
      <c r="B49" t="s">
        <v>8</v>
      </c>
      <c r="D49" s="2">
        <v>34230</v>
      </c>
      <c r="E49" s="2">
        <f t="shared" si="0"/>
        <v>2000000</v>
      </c>
      <c r="G49" s="2">
        <f>+D49+D48+C48+C49</f>
        <v>2101890</v>
      </c>
      <c r="I49" s="3">
        <f>+G49/D$5</f>
        <v>0.14101331216547</v>
      </c>
      <c r="J49" s="5">
        <f>+(D$4*(1+I49))-D$4</f>
        <v>0.22914663226888865</v>
      </c>
      <c r="K49" s="1">
        <f>+J49*K$7/100</f>
        <v>687.43989680666596</v>
      </c>
    </row>
    <row r="50" spans="1:11" x14ac:dyDescent="0.35">
      <c r="A50">
        <f>+A48+1</f>
        <v>21</v>
      </c>
      <c r="B50" t="s">
        <v>7</v>
      </c>
      <c r="C50" s="2">
        <f>+B$1/B$2</f>
        <v>2000000</v>
      </c>
      <c r="D50" s="2">
        <f>+D49</f>
        <v>34230</v>
      </c>
      <c r="E50" s="2">
        <f t="shared" si="0"/>
        <v>0</v>
      </c>
      <c r="I50" s="4"/>
    </row>
    <row r="51" spans="1:11" x14ac:dyDescent="0.35">
      <c r="B51" t="s">
        <v>8</v>
      </c>
      <c r="E51" s="2">
        <f t="shared" si="0"/>
        <v>0</v>
      </c>
      <c r="G51" s="2">
        <f>+D51+D50+C50+C51</f>
        <v>2034230</v>
      </c>
      <c r="I51" s="3">
        <f>+G51/D$5</f>
        <v>0.13647408285227297</v>
      </c>
      <c r="J51" s="5">
        <f>+(D$4*(1+I51))-D$4</f>
        <v>0.2217703846349437</v>
      </c>
      <c r="K51" s="1">
        <f>+J51*K$7/100</f>
        <v>665.31115390483114</v>
      </c>
    </row>
    <row r="52" spans="1:11" x14ac:dyDescent="0.35">
      <c r="I52" s="4"/>
    </row>
    <row r="53" spans="1:11" x14ac:dyDescent="0.35">
      <c r="B53" t="s">
        <v>11</v>
      </c>
      <c r="C53" s="2">
        <f>SUM(C10:C52)</f>
        <v>40000000</v>
      </c>
      <c r="D53" s="2">
        <f>SUM(D10:D52)</f>
        <v>11374988</v>
      </c>
      <c r="G53" s="2">
        <f>SUM(G10:G52)</f>
        <v>51374988</v>
      </c>
      <c r="I53" s="3"/>
      <c r="K53" s="2">
        <f>SUM(K10:K52)</f>
        <v>16802.599778848427</v>
      </c>
    </row>
    <row r="54" spans="1:11" x14ac:dyDescent="0.35">
      <c r="I54" s="4"/>
    </row>
    <row r="55" spans="1:11" x14ac:dyDescent="0.35">
      <c r="I55" s="3"/>
    </row>
  </sheetData>
  <mergeCells count="3">
    <mergeCell ref="G7:G8"/>
    <mergeCell ref="I7:I8"/>
    <mergeCell ref="J7:J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75"/>
  <sheetViews>
    <sheetView workbookViewId="0">
      <selection activeCell="D12" sqref="D12"/>
    </sheetView>
  </sheetViews>
  <sheetFormatPr defaultRowHeight="14.5" x14ac:dyDescent="0.35"/>
  <cols>
    <col min="1" max="1" width="9.7265625" customWidth="1"/>
    <col min="2" max="2" width="12.453125" bestFit="1" customWidth="1"/>
    <col min="3" max="4" width="11" style="2" bestFit="1" customWidth="1"/>
    <col min="5" max="5" width="16.1796875" style="2" bestFit="1" customWidth="1"/>
    <col min="6" max="6" width="3.453125" customWidth="1"/>
    <col min="7" max="7" width="13" style="2" customWidth="1"/>
    <col min="8" max="8" width="3.7265625" customWidth="1"/>
    <col min="9" max="9" width="17.54296875" customWidth="1"/>
    <col min="10" max="10" width="11.7265625" style="5" customWidth="1"/>
    <col min="11" max="13" width="14.54296875" style="15" customWidth="1"/>
    <col min="14" max="14" width="8.7265625" style="5"/>
    <col min="18" max="18" width="15.26953125" style="2" bestFit="1" customWidth="1"/>
  </cols>
  <sheetData>
    <row r="1" spans="1:14" x14ac:dyDescent="0.35">
      <c r="A1" t="s">
        <v>39</v>
      </c>
      <c r="B1" s="10">
        <f>+Summary!B11</f>
        <v>55000000</v>
      </c>
    </row>
    <row r="2" spans="1:14" x14ac:dyDescent="0.35">
      <c r="A2" t="s">
        <v>9</v>
      </c>
      <c r="B2">
        <v>25</v>
      </c>
    </row>
    <row r="3" spans="1:14" x14ac:dyDescent="0.35">
      <c r="A3" t="s">
        <v>0</v>
      </c>
      <c r="B3" s="3">
        <f>'40 mil 25yrs_VT Bond Bank'!B3</f>
        <v>2.9700000000000001E-2</v>
      </c>
      <c r="G3" s="21">
        <f>(D11*22)/B1</f>
        <v>0.276397</v>
      </c>
      <c r="I3" s="2"/>
    </row>
    <row r="4" spans="1:14" x14ac:dyDescent="0.35">
      <c r="A4" t="s">
        <v>19</v>
      </c>
      <c r="C4"/>
      <c r="D4" s="5">
        <v>1.627</v>
      </c>
      <c r="I4" s="3"/>
    </row>
    <row r="5" spans="1:14" x14ac:dyDescent="0.35">
      <c r="A5" s="9" t="s">
        <v>2</v>
      </c>
      <c r="B5" s="9"/>
      <c r="C5" s="9"/>
      <c r="D5" s="10">
        <v>14905614</v>
      </c>
      <c r="I5" s="3"/>
    </row>
    <row r="6" spans="1:14" x14ac:dyDescent="0.35">
      <c r="A6" s="9"/>
      <c r="B6" s="9"/>
      <c r="C6" s="9"/>
      <c r="D6" s="10"/>
      <c r="I6" s="3"/>
      <c r="K6" s="15" t="s">
        <v>15</v>
      </c>
      <c r="L6" s="15" t="s">
        <v>15</v>
      </c>
    </row>
    <row r="7" spans="1:14" x14ac:dyDescent="0.35">
      <c r="A7" s="11"/>
      <c r="B7" s="11"/>
      <c r="C7" s="12"/>
      <c r="D7" s="12"/>
      <c r="E7" s="12"/>
      <c r="F7" s="11"/>
      <c r="G7" s="394" t="s">
        <v>13</v>
      </c>
      <c r="H7" s="11"/>
      <c r="I7" s="396" t="s">
        <v>5</v>
      </c>
      <c r="J7" s="397" t="s">
        <v>16</v>
      </c>
      <c r="K7" s="16">
        <v>300000</v>
      </c>
      <c r="L7" s="16">
        <v>500000</v>
      </c>
      <c r="M7" s="16"/>
    </row>
    <row r="8" spans="1:14" ht="15" thickBot="1" x14ac:dyDescent="0.4">
      <c r="A8" s="13" t="s">
        <v>3</v>
      </c>
      <c r="B8" s="13" t="s">
        <v>6</v>
      </c>
      <c r="C8" s="14" t="s">
        <v>1</v>
      </c>
      <c r="D8" s="14" t="s">
        <v>0</v>
      </c>
      <c r="E8" s="14" t="s">
        <v>12</v>
      </c>
      <c r="F8" s="13"/>
      <c r="G8" s="395"/>
      <c r="H8" s="13"/>
      <c r="I8" s="387"/>
      <c r="J8" s="398"/>
      <c r="K8" s="17" t="s">
        <v>4</v>
      </c>
      <c r="L8" s="17" t="s">
        <v>4</v>
      </c>
      <c r="M8" s="17"/>
      <c r="N8" s="6"/>
    </row>
    <row r="9" spans="1:14" x14ac:dyDescent="0.35">
      <c r="E9" s="2">
        <f>+B1</f>
        <v>55000000</v>
      </c>
      <c r="M9" s="15">
        <f>+' Cost per Eq Pupil'!D15</f>
        <v>17904.444344633212</v>
      </c>
      <c r="N9" s="2"/>
    </row>
    <row r="10" spans="1:14" x14ac:dyDescent="0.35">
      <c r="A10">
        <v>1</v>
      </c>
      <c r="B10" t="s">
        <v>7</v>
      </c>
      <c r="D10" s="2">
        <f>+(B$1/'40 mil 25yrs_VT Bond Bank'!B$1)*'40 mil 25yrs_VT Bond Bank'!D10</f>
        <v>464499.75</v>
      </c>
      <c r="E10" s="2">
        <f>+E9-C10</f>
        <v>55000000</v>
      </c>
      <c r="I10" s="4"/>
    </row>
    <row r="11" spans="1:14" x14ac:dyDescent="0.35">
      <c r="B11" t="s">
        <v>8</v>
      </c>
      <c r="D11" s="2">
        <f>+(B$1/'40 mil 25yrs_VT Bond Bank'!B$1)*'40 mil 25yrs_VT Bond Bank'!D11</f>
        <v>690992.5</v>
      </c>
      <c r="E11" s="2">
        <f t="shared" ref="E11:E60" si="0">+E10-C11</f>
        <v>55000000</v>
      </c>
      <c r="G11" s="2">
        <f>+D11+D10+C10+C11</f>
        <v>1155492.25</v>
      </c>
      <c r="I11" s="3">
        <f>+G11/D$5</f>
        <v>7.7520607336269406E-2</v>
      </c>
      <c r="J11" s="5">
        <f>+(D$4*(1+I11))-D$4</f>
        <v>0.12612602813611007</v>
      </c>
      <c r="K11" s="28">
        <f>+$J11*K$7/100</f>
        <v>378.37808440833015</v>
      </c>
      <c r="L11" s="28">
        <f>+$J11*L$7/100</f>
        <v>630.63014068055031</v>
      </c>
      <c r="M11" s="28">
        <f>+(G11+' Cost per Eq Pupil'!D$13)/' Cost per Eq Pupil'!D$11</f>
        <v>19201.919276418474</v>
      </c>
      <c r="N11" s="2"/>
    </row>
    <row r="12" spans="1:14" x14ac:dyDescent="0.35">
      <c r="A12">
        <f>+A10+1</f>
        <v>2</v>
      </c>
      <c r="B12" t="s">
        <v>7</v>
      </c>
      <c r="C12" s="2">
        <f>+B$1/B$2</f>
        <v>2200000</v>
      </c>
      <c r="D12" s="2">
        <f>+(B$1/'40 mil 25yrs_VT Bond Bank'!B$1)*'40 mil 25yrs_VT Bond Bank'!D12</f>
        <v>690992.5</v>
      </c>
      <c r="E12" s="2">
        <f t="shared" si="0"/>
        <v>52800000</v>
      </c>
      <c r="I12" s="4"/>
    </row>
    <row r="13" spans="1:14" x14ac:dyDescent="0.35">
      <c r="B13" t="s">
        <v>8</v>
      </c>
      <c r="D13" s="2">
        <f>+(B$1/'40 mil 25yrs_VT Bond Bank'!B$1)*'40 mil 25yrs_VT Bond Bank'!D13</f>
        <v>676142.5</v>
      </c>
      <c r="E13" s="2">
        <f t="shared" si="0"/>
        <v>52800000</v>
      </c>
      <c r="G13" s="2">
        <f>+D13+D12+C12+C13</f>
        <v>3567135</v>
      </c>
      <c r="I13" s="3">
        <f>+G13/D$5</f>
        <v>0.23931486485561748</v>
      </c>
      <c r="J13" s="5">
        <f>+(D$4*(1+I13))-D$4</f>
        <v>0.38936528512008972</v>
      </c>
      <c r="K13" s="28">
        <f>+$J13*K$7/100</f>
        <v>1168.0958553602693</v>
      </c>
      <c r="L13" s="28">
        <f>+$J13*L$7/100</f>
        <v>1946.8264256004486</v>
      </c>
      <c r="M13" s="28">
        <f>+(G13+' Cost per Eq Pupil'!D$13)/' Cost per Eq Pupil'!D$11</f>
        <v>21909.895909361418</v>
      </c>
      <c r="N13" s="2"/>
    </row>
    <row r="14" spans="1:14" x14ac:dyDescent="0.35">
      <c r="A14">
        <f>+A12+1</f>
        <v>3</v>
      </c>
      <c r="B14" t="s">
        <v>7</v>
      </c>
      <c r="C14" s="2">
        <f>+B$1/B$2</f>
        <v>2200000</v>
      </c>
      <c r="D14" s="2">
        <f>+(B$1/'40 mil 25yrs_VT Bond Bank'!B$1)*'40 mil 25yrs_VT Bond Bank'!D14</f>
        <v>676142.5</v>
      </c>
      <c r="E14" s="2">
        <f t="shared" si="0"/>
        <v>50600000</v>
      </c>
      <c r="I14" s="4"/>
    </row>
    <row r="15" spans="1:14" x14ac:dyDescent="0.35">
      <c r="B15" t="s">
        <v>8</v>
      </c>
      <c r="D15" s="2">
        <f>+(B$1/'40 mil 25yrs_VT Bond Bank'!B$1)*'40 mil 25yrs_VT Bond Bank'!D15</f>
        <v>660962.5</v>
      </c>
      <c r="E15" s="2">
        <f t="shared" si="0"/>
        <v>50600000</v>
      </c>
      <c r="G15" s="2">
        <f>+D15+D14+C14+C15</f>
        <v>3537105</v>
      </c>
      <c r="I15" s="3">
        <f>+G15/D$5</f>
        <v>0.23730018770109035</v>
      </c>
      <c r="J15" s="5">
        <f>+(D$4*(1+I15))-D$4</f>
        <v>0.3860874053896739</v>
      </c>
      <c r="K15" s="28">
        <f>+$J15*K$7/100</f>
        <v>1158.2622161690217</v>
      </c>
      <c r="L15" s="28">
        <f>+$J15*L$7/100</f>
        <v>1930.4370269483695</v>
      </c>
      <c r="M15" s="28">
        <f>+(G15+' Cost per Eq Pupil'!D$13)/' Cost per Eq Pupil'!D$11</f>
        <v>21876.175932268095</v>
      </c>
      <c r="N15" s="2"/>
    </row>
    <row r="16" spans="1:14" x14ac:dyDescent="0.35">
      <c r="A16">
        <f>+A14+1</f>
        <v>4</v>
      </c>
      <c r="B16" t="s">
        <v>7</v>
      </c>
      <c r="C16" s="2">
        <f>+B$1/B$2</f>
        <v>2200000</v>
      </c>
      <c r="D16" s="2">
        <f>+(B$1/'40 mil 25yrs_VT Bond Bank'!B$1)*'40 mil 25yrs_VT Bond Bank'!D16</f>
        <v>660962.5</v>
      </c>
      <c r="E16" s="2">
        <f t="shared" si="0"/>
        <v>48400000</v>
      </c>
      <c r="I16" s="4"/>
    </row>
    <row r="17" spans="1:13" x14ac:dyDescent="0.35">
      <c r="B17" t="s">
        <v>8</v>
      </c>
      <c r="D17" s="2">
        <f>+(B$1/'40 mil 25yrs_VT Bond Bank'!B$1)*'40 mil 25yrs_VT Bond Bank'!D17</f>
        <v>645488.25</v>
      </c>
      <c r="E17" s="2">
        <f t="shared" si="0"/>
        <v>48400000</v>
      </c>
      <c r="G17" s="2">
        <f>+D17+D16+C16+C17</f>
        <v>3506450.75</v>
      </c>
      <c r="I17" s="3">
        <f>+G17/D$5</f>
        <v>0.23524363035296633</v>
      </c>
      <c r="J17" s="5">
        <f>+(D$4*(1+I17))-D$4</f>
        <v>0.38274138658427614</v>
      </c>
      <c r="K17" s="28">
        <f>+$J17*K$7/100</f>
        <v>1148.2241597528284</v>
      </c>
      <c r="L17" s="28">
        <f>+$J17*L$7/100</f>
        <v>1913.7069329213807</v>
      </c>
      <c r="M17" s="28"/>
    </row>
    <row r="18" spans="1:13" x14ac:dyDescent="0.35">
      <c r="A18">
        <f>+A16+1</f>
        <v>5</v>
      </c>
      <c r="B18" t="s">
        <v>7</v>
      </c>
      <c r="C18" s="2">
        <f>+B$1/B$2</f>
        <v>2200000</v>
      </c>
      <c r="D18" s="2">
        <f>+(B$1/'40 mil 25yrs_VT Bond Bank'!B$1)*'40 mil 25yrs_VT Bond Bank'!D18</f>
        <v>645488.25</v>
      </c>
      <c r="E18" s="2">
        <f t="shared" si="0"/>
        <v>46200000</v>
      </c>
      <c r="I18" s="4"/>
    </row>
    <row r="19" spans="1:13" x14ac:dyDescent="0.35">
      <c r="B19" t="s">
        <v>8</v>
      </c>
      <c r="D19" s="2">
        <f>+(B$1/'40 mil 25yrs_VT Bond Bank'!B$1)*'40 mil 25yrs_VT Bond Bank'!D19</f>
        <v>629722.5</v>
      </c>
      <c r="E19" s="2">
        <f t="shared" si="0"/>
        <v>46200000</v>
      </c>
      <c r="G19" s="2">
        <f>+D19+D18+C18+C19</f>
        <v>3475210.75</v>
      </c>
      <c r="I19" s="3">
        <f>+G19/D$5</f>
        <v>0.23314777573067436</v>
      </c>
      <c r="J19" s="5">
        <f>+(D$4*(1+I19))-D$4</f>
        <v>0.37933143111380718</v>
      </c>
      <c r="K19" s="28">
        <f>+$J19*K$7/100</f>
        <v>1137.9942933414216</v>
      </c>
      <c r="L19" s="28">
        <f>+$J19*L$7/100</f>
        <v>1896.6571555690359</v>
      </c>
      <c r="M19" s="28"/>
    </row>
    <row r="20" spans="1:13" x14ac:dyDescent="0.35">
      <c r="A20">
        <f>+A18+1</f>
        <v>6</v>
      </c>
      <c r="B20" t="s">
        <v>7</v>
      </c>
      <c r="C20" s="2">
        <f>+B$1/B$2</f>
        <v>2200000</v>
      </c>
      <c r="D20" s="2">
        <f>+(B$1/'40 mil 25yrs_VT Bond Bank'!B$1)*'40 mil 25yrs_VT Bond Bank'!D20</f>
        <v>629722.5</v>
      </c>
      <c r="E20" s="2">
        <f t="shared" si="0"/>
        <v>44000000</v>
      </c>
      <c r="I20" s="4"/>
    </row>
    <row r="21" spans="1:13" x14ac:dyDescent="0.35">
      <c r="B21" t="s">
        <v>8</v>
      </c>
      <c r="D21" s="2">
        <f>+(B$1/'40 mil 25yrs_VT Bond Bank'!B$1)*'40 mil 25yrs_VT Bond Bank'!D21</f>
        <v>613662.5</v>
      </c>
      <c r="E21" s="2">
        <f t="shared" si="0"/>
        <v>44000000</v>
      </c>
      <c r="G21" s="2">
        <f>+D21+D20+C20+C21</f>
        <v>3443385</v>
      </c>
      <c r="I21" s="3">
        <f>+G21/D$5</f>
        <v>0.23101262383421442</v>
      </c>
      <c r="J21" s="5">
        <f>+(D$4*(1+I21))-D$4</f>
        <v>0.37585753897826701</v>
      </c>
      <c r="K21" s="28">
        <f>+$J21*K$7/100</f>
        <v>1127.5726169348011</v>
      </c>
      <c r="L21" s="28">
        <f>+$J21*L$7/100</f>
        <v>1879.2876948913349</v>
      </c>
      <c r="M21" s="28"/>
    </row>
    <row r="22" spans="1:13" x14ac:dyDescent="0.35">
      <c r="A22">
        <f>+A20+1</f>
        <v>7</v>
      </c>
      <c r="B22" t="s">
        <v>7</v>
      </c>
      <c r="C22" s="2">
        <f>+B$1/B$2</f>
        <v>2200000</v>
      </c>
      <c r="D22" s="2">
        <f>+(B$1/'40 mil 25yrs_VT Bond Bank'!B$1)*'40 mil 25yrs_VT Bond Bank'!D22</f>
        <v>613662.5</v>
      </c>
      <c r="E22" s="2">
        <f t="shared" si="0"/>
        <v>41800000</v>
      </c>
      <c r="I22" s="4"/>
    </row>
    <row r="23" spans="1:13" x14ac:dyDescent="0.35">
      <c r="B23" t="s">
        <v>8</v>
      </c>
      <c r="D23" s="2">
        <f>+(B$1/'40 mil 25yrs_VT Bond Bank'!B$1)*'40 mil 25yrs_VT Bond Bank'!D23</f>
        <v>596634.5</v>
      </c>
      <c r="E23" s="2">
        <f t="shared" si="0"/>
        <v>41800000</v>
      </c>
      <c r="G23" s="2">
        <f>+D23+D22+C22+C23</f>
        <v>3410297</v>
      </c>
      <c r="I23" s="3">
        <f>+G23/D$5</f>
        <v>0.22879278907933615</v>
      </c>
      <c r="J23" s="5">
        <f>+(D$4*(1+I23))-D$4</f>
        <v>0.37224586783207991</v>
      </c>
      <c r="K23" s="28">
        <f>+$J23*K$7/100</f>
        <v>1116.7376034962397</v>
      </c>
      <c r="L23" s="28">
        <f>+$J23*L$7/100</f>
        <v>1861.2293391603996</v>
      </c>
      <c r="M23" s="28"/>
    </row>
    <row r="24" spans="1:13" x14ac:dyDescent="0.35">
      <c r="A24">
        <f>+A22+1</f>
        <v>8</v>
      </c>
      <c r="B24" t="s">
        <v>7</v>
      </c>
      <c r="C24" s="2">
        <f>+B$1/B$2</f>
        <v>2200000</v>
      </c>
      <c r="D24" s="2">
        <f>+(B$1/'40 mil 25yrs_VT Bond Bank'!B$1)*'40 mil 25yrs_VT Bond Bank'!D24</f>
        <v>596634.5</v>
      </c>
      <c r="E24" s="2">
        <f t="shared" si="0"/>
        <v>39600000</v>
      </c>
      <c r="I24" s="4"/>
    </row>
    <row r="25" spans="1:13" x14ac:dyDescent="0.35">
      <c r="B25" t="s">
        <v>8</v>
      </c>
      <c r="D25" s="2">
        <f>+(B$1/'40 mil 25yrs_VT Bond Bank'!B$1)*'40 mil 25yrs_VT Bond Bank'!D25</f>
        <v>578638.5</v>
      </c>
      <c r="E25" s="2">
        <f t="shared" si="0"/>
        <v>39600000</v>
      </c>
      <c r="G25" s="2">
        <f>+D25+D24+C24+C25</f>
        <v>3375273</v>
      </c>
      <c r="I25" s="3">
        <f>+G25/D$5</f>
        <v>0.22644307037603414</v>
      </c>
      <c r="J25" s="5">
        <f>+(D$4*(1+I25))-D$4</f>
        <v>0.36842287550180752</v>
      </c>
      <c r="K25" s="28">
        <f>+$J25*K$7/100</f>
        <v>1105.2686265054226</v>
      </c>
      <c r="L25" s="28">
        <f>+$J25*L$7/100</f>
        <v>1842.1143775090377</v>
      </c>
      <c r="M25" s="28"/>
    </row>
    <row r="26" spans="1:13" x14ac:dyDescent="0.35">
      <c r="A26">
        <f>+A24+1</f>
        <v>9</v>
      </c>
      <c r="B26" t="s">
        <v>7</v>
      </c>
      <c r="C26" s="2">
        <f>+B$1/B$2</f>
        <v>2200000</v>
      </c>
      <c r="D26" s="2">
        <f>+(B$1/'40 mil 25yrs_VT Bond Bank'!B$1)*'40 mil 25yrs_VT Bond Bank'!D26</f>
        <v>578638.5</v>
      </c>
      <c r="E26" s="2">
        <f t="shared" si="0"/>
        <v>37400000</v>
      </c>
      <c r="I26" s="4"/>
    </row>
    <row r="27" spans="1:13" x14ac:dyDescent="0.35">
      <c r="B27" t="s">
        <v>8</v>
      </c>
      <c r="D27" s="2">
        <f>+(B$1/'40 mil 25yrs_VT Bond Bank'!B$1)*'40 mil 25yrs_VT Bond Bank'!D27</f>
        <v>559674.5</v>
      </c>
      <c r="E27" s="2">
        <f t="shared" si="0"/>
        <v>37400000</v>
      </c>
      <c r="G27" s="2">
        <f>+D27+D26+C26+C27</f>
        <v>3338313</v>
      </c>
      <c r="I27" s="3">
        <f>+G27/D$5</f>
        <v>0.22396346772430845</v>
      </c>
      <c r="J27" s="5">
        <f>+(D$4*(1+I27))-D$4</f>
        <v>0.36438856198745007</v>
      </c>
      <c r="K27" s="28">
        <f>+$J27*K$7/100</f>
        <v>1093.1656859623502</v>
      </c>
      <c r="L27" s="28">
        <f>+$J27*L$7/100</f>
        <v>1821.9428099372503</v>
      </c>
      <c r="M27" s="28"/>
    </row>
    <row r="28" spans="1:13" x14ac:dyDescent="0.35">
      <c r="A28">
        <f>+A26+1</f>
        <v>10</v>
      </c>
      <c r="B28" t="s">
        <v>7</v>
      </c>
      <c r="C28" s="2">
        <f>+B$1/B$2</f>
        <v>2200000</v>
      </c>
      <c r="D28" s="2">
        <f>+(B$1/'40 mil 25yrs_VT Bond Bank'!B$1)*'40 mil 25yrs_VT Bond Bank'!D28</f>
        <v>559674.5</v>
      </c>
      <c r="E28" s="2">
        <f t="shared" si="0"/>
        <v>35200000</v>
      </c>
      <c r="I28" s="4"/>
    </row>
    <row r="29" spans="1:13" x14ac:dyDescent="0.35">
      <c r="B29" t="s">
        <v>8</v>
      </c>
      <c r="D29" s="2">
        <f>+(B$1/'40 mil 25yrs_VT Bond Bank'!B$1)*'40 mil 25yrs_VT Bond Bank'!D29</f>
        <v>539742.5</v>
      </c>
      <c r="E29" s="2">
        <f t="shared" si="0"/>
        <v>35200000</v>
      </c>
      <c r="G29" s="2">
        <f>+D29+D28+C28+C29</f>
        <v>3299417</v>
      </c>
      <c r="I29" s="3">
        <f>+G29/D$5</f>
        <v>0.22135398112415899</v>
      </c>
      <c r="J29" s="5">
        <f>+(D$4*(1+I29))-D$4</f>
        <v>0.36014292728900665</v>
      </c>
      <c r="K29" s="28">
        <f>+$J29*K$7/100</f>
        <v>1080.42878186702</v>
      </c>
      <c r="L29" s="28">
        <f>+$J29*L$7/100</f>
        <v>1800.7146364450332</v>
      </c>
      <c r="M29" s="28"/>
    </row>
    <row r="30" spans="1:13" x14ac:dyDescent="0.35">
      <c r="A30">
        <f>+A28+1</f>
        <v>11</v>
      </c>
      <c r="B30" t="s">
        <v>7</v>
      </c>
      <c r="C30" s="2">
        <f>+B$1/B$2</f>
        <v>2200000</v>
      </c>
      <c r="D30" s="2">
        <f>+(B$1/'40 mil 25yrs_VT Bond Bank'!B$1)*'40 mil 25yrs_VT Bond Bank'!D30</f>
        <v>539742.5</v>
      </c>
      <c r="E30" s="2">
        <f t="shared" si="0"/>
        <v>33000000</v>
      </c>
      <c r="I30" s="4"/>
    </row>
    <row r="31" spans="1:13" x14ac:dyDescent="0.35">
      <c r="B31" t="s">
        <v>8</v>
      </c>
      <c r="D31" s="2">
        <f>+(B$1/'40 mil 25yrs_VT Bond Bank'!B$1)*'40 mil 25yrs_VT Bond Bank'!D31</f>
        <v>518842.5</v>
      </c>
      <c r="E31" s="2">
        <f t="shared" si="0"/>
        <v>33000000</v>
      </c>
      <c r="G31" s="2">
        <f>+D31+D30+C30+C31</f>
        <v>3258585</v>
      </c>
      <c r="I31" s="3">
        <f>+G31/D$5</f>
        <v>0.21861461057558582</v>
      </c>
      <c r="J31" s="5">
        <f>+(D$4*(1+I31))-D$4</f>
        <v>0.35568597140647795</v>
      </c>
      <c r="K31" s="28">
        <f>+$J31*K$7/100</f>
        <v>1067.0579142194338</v>
      </c>
      <c r="L31" s="28">
        <f>+$J31*L$7/100</f>
        <v>1778.4298570323899</v>
      </c>
      <c r="M31" s="28"/>
    </row>
    <row r="32" spans="1:13" x14ac:dyDescent="0.35">
      <c r="A32">
        <f>+A30+1</f>
        <v>12</v>
      </c>
      <c r="B32" t="s">
        <v>7</v>
      </c>
      <c r="C32" s="2">
        <f>+B$1/B$2</f>
        <v>2200000</v>
      </c>
      <c r="D32" s="2">
        <f>+(B$1/'40 mil 25yrs_VT Bond Bank'!B$1)*'40 mil 25yrs_VT Bond Bank'!D32</f>
        <v>518842.5</v>
      </c>
      <c r="E32" s="2">
        <f t="shared" si="0"/>
        <v>30800000</v>
      </c>
      <c r="I32" s="4"/>
    </row>
    <row r="33" spans="1:13" x14ac:dyDescent="0.35">
      <c r="B33" t="s">
        <v>8</v>
      </c>
      <c r="D33" s="2">
        <f>+(B$1/'40 mil 25yrs_VT Bond Bank'!B$1)*'40 mil 25yrs_VT Bond Bank'!D33</f>
        <v>494975.25</v>
      </c>
      <c r="E33" s="2">
        <f t="shared" si="0"/>
        <v>30800000</v>
      </c>
      <c r="G33" s="2">
        <f>+D33+D32+C32+C33</f>
        <v>3213817.75</v>
      </c>
      <c r="I33" s="3">
        <f>+G33/D$5</f>
        <v>0.21561122876253203</v>
      </c>
      <c r="J33" s="5">
        <f>+(D$4*(1+I33))-D$4</f>
        <v>0.35079946919663962</v>
      </c>
      <c r="K33" s="28">
        <f>+$J33*K$7/100</f>
        <v>1052.3984075899189</v>
      </c>
      <c r="L33" s="28">
        <f>+$J33*L$7/100</f>
        <v>1753.9973459831981</v>
      </c>
      <c r="M33" s="28"/>
    </row>
    <row r="34" spans="1:13" x14ac:dyDescent="0.35">
      <c r="A34">
        <f>+A32+1</f>
        <v>13</v>
      </c>
      <c r="B34" t="s">
        <v>7</v>
      </c>
      <c r="C34" s="2">
        <f>+B$1/B$2</f>
        <v>2200000</v>
      </c>
      <c r="D34" s="2">
        <f>+(B$1/'40 mil 25yrs_VT Bond Bank'!B$1)*'40 mil 25yrs_VT Bond Bank'!D34</f>
        <v>494975.25</v>
      </c>
      <c r="E34" s="2">
        <f t="shared" si="0"/>
        <v>28600000</v>
      </c>
      <c r="I34" s="4"/>
    </row>
    <row r="35" spans="1:13" x14ac:dyDescent="0.35">
      <c r="B35" t="s">
        <v>8</v>
      </c>
      <c r="D35" s="2">
        <f>+(B$1/'40 mil 25yrs_VT Bond Bank'!B$1)*'40 mil 25yrs_VT Bond Bank'!D35</f>
        <v>468567</v>
      </c>
      <c r="E35" s="2">
        <f t="shared" si="0"/>
        <v>28600000</v>
      </c>
      <c r="G35" s="2">
        <f>+D35+D34+C34+C35</f>
        <v>3163542.25</v>
      </c>
      <c r="I35" s="3">
        <f>+G35/D$5</f>
        <v>0.21223830497690332</v>
      </c>
      <c r="J35" s="5">
        <f>+(D$4*(1+I35))-D$4</f>
        <v>0.34531172219742179</v>
      </c>
      <c r="K35" s="28">
        <f>+$J35*K$7/100</f>
        <v>1035.9351665922652</v>
      </c>
      <c r="L35" s="28">
        <f>+$J35*L$7/100</f>
        <v>1726.5586109871088</v>
      </c>
      <c r="M35" s="28"/>
    </row>
    <row r="36" spans="1:13" x14ac:dyDescent="0.35">
      <c r="A36">
        <f>+A34+1</f>
        <v>14</v>
      </c>
      <c r="B36" t="s">
        <v>7</v>
      </c>
      <c r="C36" s="2">
        <f>+B$1/B$2</f>
        <v>2200000</v>
      </c>
      <c r="D36" s="2">
        <f>+(B$1/'40 mil 25yrs_VT Bond Bank'!B$1)*'40 mil 25yrs_VT Bond Bank'!D36</f>
        <v>468567</v>
      </c>
      <c r="E36" s="2">
        <f t="shared" si="0"/>
        <v>26400000</v>
      </c>
      <c r="I36" s="4"/>
    </row>
    <row r="37" spans="1:13" x14ac:dyDescent="0.35">
      <c r="B37" t="s">
        <v>8</v>
      </c>
      <c r="D37" s="2">
        <f>+(B$1/'40 mil 25yrs_VT Bond Bank'!B$1)*'40 mil 25yrs_VT Bond Bank'!D37</f>
        <v>439951.875</v>
      </c>
      <c r="E37" s="2">
        <f t="shared" si="0"/>
        <v>26400000</v>
      </c>
      <c r="G37" s="2">
        <f>+D37+D36+C36+C37</f>
        <v>3108518.875</v>
      </c>
      <c r="I37" s="3">
        <f>+G37/D$5</f>
        <v>0.20854685187742014</v>
      </c>
      <c r="J37" s="5">
        <f>+(D$4*(1+I37))-D$4</f>
        <v>0.33930572800456238</v>
      </c>
      <c r="K37" s="28">
        <f>+$J37*K$7/100</f>
        <v>1017.9171840136871</v>
      </c>
      <c r="L37" s="28">
        <f>+$J37*L$7/100</f>
        <v>1696.5286400228119</v>
      </c>
      <c r="M37" s="28"/>
    </row>
    <row r="38" spans="1:13" x14ac:dyDescent="0.35">
      <c r="A38">
        <f>+A36+1</f>
        <v>15</v>
      </c>
      <c r="B38" t="s">
        <v>7</v>
      </c>
      <c r="C38" s="2">
        <f>+B$1/B$2</f>
        <v>2200000</v>
      </c>
      <c r="D38" s="2">
        <f>+(B$1/'40 mil 25yrs_VT Bond Bank'!B$1)*'40 mil 25yrs_VT Bond Bank'!D38</f>
        <v>439951.875</v>
      </c>
      <c r="E38" s="2">
        <f t="shared" si="0"/>
        <v>24200000</v>
      </c>
      <c r="I38" s="4"/>
    </row>
    <row r="39" spans="1:13" x14ac:dyDescent="0.35">
      <c r="B39" t="s">
        <v>8</v>
      </c>
      <c r="D39" s="2">
        <f>+(B$1/'40 mil 25yrs_VT Bond Bank'!B$1)*'40 mil 25yrs_VT Bond Bank'!D39</f>
        <v>409400.75</v>
      </c>
      <c r="E39" s="2">
        <f t="shared" si="0"/>
        <v>24200000</v>
      </c>
      <c r="G39" s="2">
        <f>+D39+D38+C38+C39</f>
        <v>3049352.625</v>
      </c>
      <c r="I39" s="3">
        <f>+G39/D$5</f>
        <v>0.20457745819796488</v>
      </c>
      <c r="J39" s="5">
        <f>+(D$4*(1+I39))-D$4</f>
        <v>0.33284752448808885</v>
      </c>
      <c r="K39" s="28">
        <f>+$J39*K$7/100</f>
        <v>998.54257346426664</v>
      </c>
      <c r="L39" s="28">
        <f>+$J39*L$7/100</f>
        <v>1664.2376224404443</v>
      </c>
      <c r="M39" s="28"/>
    </row>
    <row r="40" spans="1:13" x14ac:dyDescent="0.35">
      <c r="A40">
        <f>+A38+1</f>
        <v>16</v>
      </c>
      <c r="B40" t="s">
        <v>7</v>
      </c>
      <c r="C40" s="2">
        <f>+B$1/B$2</f>
        <v>2200000</v>
      </c>
      <c r="D40" s="2">
        <f>+(B$1/'40 mil 25yrs_VT Bond Bank'!B$1)*'40 mil 25yrs_VT Bond Bank'!D40</f>
        <v>409400.75</v>
      </c>
      <c r="E40" s="2">
        <f t="shared" si="0"/>
        <v>22000000</v>
      </c>
      <c r="I40" s="4"/>
    </row>
    <row r="41" spans="1:13" x14ac:dyDescent="0.35">
      <c r="B41" t="s">
        <v>8</v>
      </c>
      <c r="D41" s="2">
        <f>+(B$1/'40 mil 25yrs_VT Bond Bank'!B$1)*'40 mil 25yrs_VT Bond Bank'!D41</f>
        <v>377132.25</v>
      </c>
      <c r="E41" s="2">
        <f t="shared" si="0"/>
        <v>22000000</v>
      </c>
      <c r="G41" s="2">
        <f>+D41+D40+C40+C41</f>
        <v>2986533</v>
      </c>
      <c r="I41" s="3">
        <f>+G41/D$5</f>
        <v>0.2003629639141333</v>
      </c>
      <c r="J41" s="5">
        <f>+(D$4*(1+I41))-D$4</f>
        <v>0.32599054228829494</v>
      </c>
      <c r="K41" s="28">
        <f>+$J41*K$7/100</f>
        <v>977.9716268648848</v>
      </c>
      <c r="L41" s="28">
        <f>+$J41*L$7/100</f>
        <v>1629.9527114414748</v>
      </c>
      <c r="M41" s="28"/>
    </row>
    <row r="42" spans="1:13" x14ac:dyDescent="0.35">
      <c r="A42">
        <f>+A40+1</f>
        <v>17</v>
      </c>
      <c r="B42" t="s">
        <v>7</v>
      </c>
      <c r="C42" s="2">
        <f>+B$1/B$2</f>
        <v>2200000</v>
      </c>
      <c r="D42" s="2">
        <f>+(B$1/'40 mil 25yrs_VT Bond Bank'!B$1)*'40 mil 25yrs_VT Bond Bank'!D42</f>
        <v>377132.25</v>
      </c>
      <c r="E42" s="2">
        <f t="shared" si="0"/>
        <v>19800000</v>
      </c>
      <c r="I42" s="4"/>
    </row>
    <row r="43" spans="1:13" x14ac:dyDescent="0.35">
      <c r="B43" t="s">
        <v>8</v>
      </c>
      <c r="D43" s="2">
        <f>+(B$1/'40 mil 25yrs_VT Bond Bank'!B$1)*'40 mil 25yrs_VT Bond Bank'!D43</f>
        <v>343554.75</v>
      </c>
      <c r="E43" s="2">
        <f t="shared" si="0"/>
        <v>19800000</v>
      </c>
      <c r="G43" s="2">
        <f>+D43+D42+C42+C43</f>
        <v>2920687</v>
      </c>
      <c r="I43" s="3">
        <f>+G43/D$5</f>
        <v>0.19594543371376719</v>
      </c>
      <c r="J43" s="5">
        <f>+(D$4*(1+I43))-D$4</f>
        <v>0.31880322065229927</v>
      </c>
      <c r="K43" s="28">
        <f>+$J43*K$7/100</f>
        <v>956.40966195689771</v>
      </c>
      <c r="L43" s="28">
        <f>+$J43*L$7/100</f>
        <v>1594.0161032614965</v>
      </c>
      <c r="M43" s="28"/>
    </row>
    <row r="44" spans="1:13" x14ac:dyDescent="0.35">
      <c r="A44">
        <f>+A42+1</f>
        <v>18</v>
      </c>
      <c r="B44" t="s">
        <v>7</v>
      </c>
      <c r="C44" s="2">
        <f>+B$1/B$2</f>
        <v>2200000</v>
      </c>
      <c r="D44" s="2">
        <f>+(B$1/'40 mil 25yrs_VT Bond Bank'!B$1)*'40 mil 25yrs_VT Bond Bank'!D44</f>
        <v>343554.75</v>
      </c>
      <c r="E44" s="2">
        <f t="shared" si="0"/>
        <v>17600000</v>
      </c>
      <c r="I44" s="4"/>
    </row>
    <row r="45" spans="1:13" x14ac:dyDescent="0.35">
      <c r="B45" t="s">
        <v>8</v>
      </c>
      <c r="D45" s="2">
        <f>+(B$1/'40 mil 25yrs_VT Bond Bank'!B$1)*'40 mil 25yrs_VT Bond Bank'!D45</f>
        <v>308804.375</v>
      </c>
      <c r="E45" s="2">
        <f t="shared" si="0"/>
        <v>17600000</v>
      </c>
      <c r="G45" s="2">
        <f>+D45+D44+C44+C45</f>
        <v>2852359.125</v>
      </c>
      <c r="I45" s="3">
        <f>+G45/D$5</f>
        <v>0.19136139745736069</v>
      </c>
      <c r="J45" s="5">
        <f>+(D$4*(1+I45))-D$4</f>
        <v>0.31134499366312585</v>
      </c>
      <c r="K45" s="28">
        <f>+$J45*K$7/100</f>
        <v>934.03498098937746</v>
      </c>
      <c r="L45" s="28">
        <f>+$J45*L$7/100</f>
        <v>1556.7249683156292</v>
      </c>
      <c r="M45" s="28"/>
    </row>
    <row r="46" spans="1:13" x14ac:dyDescent="0.35">
      <c r="A46">
        <f>+A44+1</f>
        <v>19</v>
      </c>
      <c r="B46" t="s">
        <v>7</v>
      </c>
      <c r="C46" s="2">
        <f>+B$1/B$2</f>
        <v>2200000</v>
      </c>
      <c r="D46" s="2">
        <f>+(B$1/'40 mil 25yrs_VT Bond Bank'!B$1)*'40 mil 25yrs_VT Bond Bank'!D46</f>
        <v>308804.375</v>
      </c>
      <c r="E46" s="2">
        <f t="shared" si="0"/>
        <v>15400000</v>
      </c>
      <c r="I46" s="4"/>
    </row>
    <row r="47" spans="1:13" x14ac:dyDescent="0.35">
      <c r="B47" t="s">
        <v>8</v>
      </c>
      <c r="D47" s="2">
        <f>+(B$1/'40 mil 25yrs_VT Bond Bank'!B$1)*'40 mil 25yrs_VT Bond Bank'!D47</f>
        <v>272993.875</v>
      </c>
      <c r="E47" s="2">
        <f t="shared" si="0"/>
        <v>15400000</v>
      </c>
      <c r="G47" s="2">
        <f>+D47+D46+C46+C47</f>
        <v>2781798.25</v>
      </c>
      <c r="I47" s="3">
        <f>+G47/D$5</f>
        <v>0.18662755187407912</v>
      </c>
      <c r="J47" s="5">
        <f>+(D$4*(1+I47))-D$4</f>
        <v>0.30364302689912681</v>
      </c>
      <c r="K47" s="28">
        <f>+$J47*K$7/100</f>
        <v>910.92908069738041</v>
      </c>
      <c r="L47" s="28">
        <f>+$J47*L$7/100</f>
        <v>1518.2151344956342</v>
      </c>
      <c r="M47" s="28"/>
    </row>
    <row r="48" spans="1:13" x14ac:dyDescent="0.35">
      <c r="A48">
        <f>+A46+1</f>
        <v>20</v>
      </c>
      <c r="B48" t="s">
        <v>7</v>
      </c>
      <c r="C48" s="2">
        <f>+B$1/B$2</f>
        <v>2200000</v>
      </c>
      <c r="D48" s="2">
        <f>+(B$1/'40 mil 25yrs_VT Bond Bank'!B$1)*'40 mil 25yrs_VT Bond Bank'!D48</f>
        <v>272993.875</v>
      </c>
      <c r="E48" s="2">
        <f t="shared" si="0"/>
        <v>13200000</v>
      </c>
      <c r="I48" s="4"/>
    </row>
    <row r="49" spans="1:13" x14ac:dyDescent="0.35">
      <c r="B49" t="s">
        <v>8</v>
      </c>
      <c r="D49" s="2">
        <f>+(B$1/'40 mil 25yrs_VT Bond Bank'!B$1)*'40 mil 25yrs_VT Bond Bank'!D49</f>
        <v>236220.875</v>
      </c>
      <c r="E49" s="2">
        <f t="shared" si="0"/>
        <v>13200000</v>
      </c>
      <c r="G49" s="2">
        <f>+D49+D48+C48+C49</f>
        <v>2709214.75</v>
      </c>
      <c r="I49" s="3">
        <f>+G49/D$5</f>
        <v>0.18175801077365883</v>
      </c>
      <c r="J49" s="5">
        <f>+(D$4*(1+I49))-D$4</f>
        <v>0.29572028352874269</v>
      </c>
      <c r="K49" s="28">
        <f>+$J49*K$7/100</f>
        <v>887.16085058622809</v>
      </c>
      <c r="L49" s="28">
        <f>+$J49*L$7/100</f>
        <v>1478.6014176437134</v>
      </c>
      <c r="M49" s="28"/>
    </row>
    <row r="50" spans="1:13" x14ac:dyDescent="0.35">
      <c r="A50">
        <f>+A48+1</f>
        <v>21</v>
      </c>
      <c r="B50" t="s">
        <v>7</v>
      </c>
      <c r="C50" s="2">
        <f>+B$1/B$2</f>
        <v>2200000</v>
      </c>
      <c r="D50" s="2">
        <f>+(B$1/'40 mil 25yrs_VT Bond Bank'!B$1)*'40 mil 25yrs_VT Bond Bank'!D50</f>
        <v>236220.875</v>
      </c>
      <c r="E50" s="2">
        <f t="shared" si="0"/>
        <v>11000000</v>
      </c>
      <c r="I50" s="4"/>
    </row>
    <row r="51" spans="1:13" x14ac:dyDescent="0.35">
      <c r="B51" t="s">
        <v>8</v>
      </c>
      <c r="D51" s="2">
        <f>+(B$1/'40 mil 25yrs_VT Bond Bank'!B$1)*'40 mil 25yrs_VT Bond Bank'!D51</f>
        <v>198567.875</v>
      </c>
      <c r="E51" s="2">
        <f t="shared" si="0"/>
        <v>11000000</v>
      </c>
      <c r="G51" s="2">
        <f>+D51+D50+C50+C51</f>
        <v>2634788.75</v>
      </c>
      <c r="I51" s="3">
        <f>+G51/D$5</f>
        <v>0.17676485852914212</v>
      </c>
      <c r="J51" s="5">
        <f>+(D$4*(1+I51))-D$4</f>
        <v>0.28759642482691428</v>
      </c>
      <c r="K51" s="28">
        <f>+$J51*K$7/100</f>
        <v>862.78927448074285</v>
      </c>
      <c r="L51" s="28">
        <f>+$J51*L$7/100</f>
        <v>1437.9821241345714</v>
      </c>
      <c r="M51" s="28"/>
    </row>
    <row r="52" spans="1:13" x14ac:dyDescent="0.35">
      <c r="A52">
        <f>+A50+1</f>
        <v>22</v>
      </c>
      <c r="B52" t="s">
        <v>7</v>
      </c>
      <c r="C52" s="2">
        <f>+B$1/B$2</f>
        <v>2200000</v>
      </c>
      <c r="D52" s="2">
        <f>+(B$1/'40 mil 25yrs_VT Bond Bank'!B$1)*'40 mil 25yrs_VT Bond Bank'!D52</f>
        <v>198567.875</v>
      </c>
      <c r="E52" s="2">
        <f t="shared" si="0"/>
        <v>8800000</v>
      </c>
      <c r="I52" s="4"/>
    </row>
    <row r="53" spans="1:13" x14ac:dyDescent="0.35">
      <c r="B53" t="s">
        <v>8</v>
      </c>
      <c r="D53" s="2">
        <f>+(B$1/'40 mil 25yrs_VT Bond Bank'!B$1)*'40 mil 25yrs_VT Bond Bank'!D53</f>
        <v>160139.375</v>
      </c>
      <c r="E53" s="2">
        <f t="shared" si="0"/>
        <v>8800000</v>
      </c>
      <c r="G53" s="2">
        <f>+D53+D52+C52+C53</f>
        <v>2558707.25</v>
      </c>
      <c r="I53" s="3">
        <f>+G53/D$5</f>
        <v>0.1716606407491835</v>
      </c>
      <c r="J53" s="5">
        <f>+(D$4*(1+I53))-D$4</f>
        <v>0.27929186249892135</v>
      </c>
      <c r="K53" s="28">
        <f>+$J53*K$7/100</f>
        <v>837.87558749676407</v>
      </c>
      <c r="L53" s="28">
        <f>+$J53*L$7/100</f>
        <v>1396.4593124946068</v>
      </c>
      <c r="M53" s="28"/>
    </row>
    <row r="54" spans="1:13" x14ac:dyDescent="0.35">
      <c r="A54">
        <f>+A52+1</f>
        <v>23</v>
      </c>
      <c r="B54" t="s">
        <v>7</v>
      </c>
      <c r="C54" s="2">
        <f>+B$1/B$2</f>
        <v>2200000</v>
      </c>
      <c r="D54" s="2">
        <f>+(B$1/'40 mil 25yrs_VT Bond Bank'!B$1)*'40 mil 25yrs_VT Bond Bank'!D54</f>
        <v>160139.375</v>
      </c>
      <c r="E54" s="2">
        <f t="shared" si="0"/>
        <v>6600000</v>
      </c>
      <c r="I54" s="4"/>
    </row>
    <row r="55" spans="1:13" x14ac:dyDescent="0.35">
      <c r="B55" t="s">
        <v>8</v>
      </c>
      <c r="D55" s="2">
        <f>+(B$1/'40 mil 25yrs_VT Bond Bank'!B$1)*'40 mil 25yrs_VT Bond Bank'!D55</f>
        <v>120994.5</v>
      </c>
      <c r="E55" s="2">
        <f t="shared" si="0"/>
        <v>6600000</v>
      </c>
      <c r="G55" s="2">
        <f>+D55+D54+C54+C55</f>
        <v>2481133.875</v>
      </c>
      <c r="I55" s="3">
        <f>+G55/D$5</f>
        <v>0.16645633484135575</v>
      </c>
      <c r="J55" s="5">
        <f>+(D$4*(1+I55))-D$4</f>
        <v>0.2708244567868856</v>
      </c>
      <c r="K55" s="28">
        <f>+$J55*K$7/100</f>
        <v>812.47337036065687</v>
      </c>
      <c r="L55" s="28">
        <f>+$J55*L$7/100</f>
        <v>1354.1222839344282</v>
      </c>
      <c r="M55" s="28"/>
    </row>
    <row r="56" spans="1:13" x14ac:dyDescent="0.35">
      <c r="A56">
        <f>+A54+1</f>
        <v>24</v>
      </c>
      <c r="B56" t="s">
        <v>7</v>
      </c>
      <c r="C56" s="2">
        <f>+B$1/B$2</f>
        <v>2200000</v>
      </c>
      <c r="D56" s="2">
        <f>+(B$1/'40 mil 25yrs_VT Bond Bank'!B$1)*'40 mil 25yrs_VT Bond Bank'!D56</f>
        <v>120994.5</v>
      </c>
      <c r="E56" s="2">
        <f t="shared" si="0"/>
        <v>4400000</v>
      </c>
      <c r="I56" s="4"/>
    </row>
    <row r="57" spans="1:13" x14ac:dyDescent="0.35">
      <c r="B57" t="s">
        <v>8</v>
      </c>
      <c r="D57" s="2">
        <f>+(B$1/'40 mil 25yrs_VT Bond Bank'!B$1)*'40 mil 25yrs_VT Bond Bank'!D57</f>
        <v>81186.875</v>
      </c>
      <c r="E57" s="2">
        <f t="shared" si="0"/>
        <v>4400000</v>
      </c>
      <c r="G57" s="2">
        <f>+D57+D56+C56+C57</f>
        <v>2402181.375</v>
      </c>
      <c r="I57" s="3">
        <f>+G57/D$5</f>
        <v>0.16115950506970059</v>
      </c>
      <c r="J57" s="5">
        <f>+(D$4*(1+I57))-D$4</f>
        <v>0.26220651474840273</v>
      </c>
      <c r="K57" s="28">
        <f>+$J57*K$7/100</f>
        <v>786.6195442452082</v>
      </c>
      <c r="L57" s="28">
        <f>+$J57*L$7/100</f>
        <v>1311.0325737420137</v>
      </c>
      <c r="M57" s="28"/>
    </row>
    <row r="58" spans="1:13" x14ac:dyDescent="0.35">
      <c r="A58">
        <f>+A56+1</f>
        <v>25</v>
      </c>
      <c r="B58" t="s">
        <v>7</v>
      </c>
      <c r="C58" s="2">
        <f>+B$1/B$2</f>
        <v>2200000</v>
      </c>
      <c r="D58" s="2">
        <f>+(B$1/'40 mil 25yrs_VT Bond Bank'!B$1)*'40 mil 25yrs_VT Bond Bank'!D58</f>
        <v>81186.875</v>
      </c>
      <c r="E58" s="2">
        <f t="shared" si="0"/>
        <v>2200000</v>
      </c>
      <c r="I58" s="4"/>
    </row>
    <row r="59" spans="1:13" x14ac:dyDescent="0.35">
      <c r="B59" t="s">
        <v>8</v>
      </c>
      <c r="D59" s="2">
        <f>+(B$1/'40 mil 25yrs_VT Bond Bank'!B$1)*'40 mil 25yrs_VT Bond Bank'!D59</f>
        <v>40763.25</v>
      </c>
      <c r="E59" s="2">
        <f t="shared" si="0"/>
        <v>2200000</v>
      </c>
      <c r="G59" s="2">
        <f>+D59+D58+C58+C59</f>
        <v>2321950.125</v>
      </c>
      <c r="I59" s="3">
        <f>+G59/D$5</f>
        <v>0.15577688547415758</v>
      </c>
      <c r="J59" s="5">
        <f>+(D$4*(1+I59))-D$4</f>
        <v>0.25344899266645426</v>
      </c>
      <c r="K59" s="28">
        <f>+$J59*K$7/100</f>
        <v>760.34697799936282</v>
      </c>
      <c r="L59" s="28">
        <f>+$J59*L$7/100</f>
        <v>1267.2449633322713</v>
      </c>
      <c r="M59" s="28"/>
    </row>
    <row r="60" spans="1:13" x14ac:dyDescent="0.35">
      <c r="A60">
        <f>+A58+1</f>
        <v>26</v>
      </c>
      <c r="B60" t="s">
        <v>7</v>
      </c>
      <c r="C60" s="2">
        <f>+B$1/B$2</f>
        <v>2200000</v>
      </c>
      <c r="D60" s="2">
        <f>+(B$1/'40 mil 25yrs_VT Bond Bank'!B$1)*'40 mil 25yrs_VT Bond Bank'!D60</f>
        <v>40763.25</v>
      </c>
      <c r="E60" s="2">
        <f t="shared" si="0"/>
        <v>0</v>
      </c>
      <c r="I60" s="4"/>
    </row>
    <row r="61" spans="1:13" x14ac:dyDescent="0.35">
      <c r="B61" t="s">
        <v>8</v>
      </c>
      <c r="G61" s="2">
        <f>+D61+D60+C60+C61</f>
        <v>2240763.25</v>
      </c>
      <c r="I61" s="3">
        <f>+G61/D$5</f>
        <v>0.15033015412850487</v>
      </c>
      <c r="J61" s="5">
        <f>+(D$4*(1+I61))-D$4</f>
        <v>0.24458716076707754</v>
      </c>
      <c r="K61" s="28">
        <f>+$J61*K$7/100</f>
        <v>733.7614823012326</v>
      </c>
      <c r="L61" s="28">
        <f>+$J61*L$7/100</f>
        <v>1222.9358038353876</v>
      </c>
      <c r="M61" s="28"/>
    </row>
    <row r="62" spans="1:13" x14ac:dyDescent="0.35">
      <c r="I62" s="4"/>
    </row>
    <row r="63" spans="1:13" x14ac:dyDescent="0.35">
      <c r="B63" t="s">
        <v>11</v>
      </c>
      <c r="C63" s="2">
        <f>SUM(C10:C62)</f>
        <v>55000000</v>
      </c>
      <c r="D63" s="2">
        <f>SUM(D10:D62)</f>
        <v>21792012</v>
      </c>
      <c r="G63" s="2">
        <f>SUM(G10:G62)</f>
        <v>76792012</v>
      </c>
      <c r="I63" s="3"/>
      <c r="K63" s="29">
        <f>SUM(K11:K61)</f>
        <v>25146.351607656019</v>
      </c>
      <c r="L63" s="29">
        <f>SUM(L11:L61)</f>
        <v>41910.58601276001</v>
      </c>
      <c r="M63" s="28"/>
    </row>
    <row r="64" spans="1:13" x14ac:dyDescent="0.35">
      <c r="I64" s="4"/>
    </row>
    <row r="65" spans="4:13" x14ac:dyDescent="0.35">
      <c r="D65" s="2">
        <f>+(D63/'40 mil 25yrs_VT Bond Bank'!D63)-('25 years'!B1/'40 mil 25yrs_VT Bond Bank'!B1)</f>
        <v>0</v>
      </c>
      <c r="I65" s="3"/>
      <c r="K65" s="28"/>
      <c r="L65" s="28"/>
      <c r="M65" s="28"/>
    </row>
    <row r="66" spans="4:13" x14ac:dyDescent="0.35">
      <c r="I66" s="4"/>
    </row>
    <row r="67" spans="4:13" x14ac:dyDescent="0.35">
      <c r="I67" s="3"/>
      <c r="K67" s="28"/>
      <c r="L67" s="28"/>
      <c r="M67" s="28"/>
    </row>
    <row r="68" spans="4:13" x14ac:dyDescent="0.35">
      <c r="I68" s="4"/>
    </row>
    <row r="69" spans="4:13" x14ac:dyDescent="0.35">
      <c r="I69" s="3"/>
      <c r="K69" s="28"/>
      <c r="L69" s="28"/>
      <c r="M69" s="28"/>
    </row>
    <row r="70" spans="4:13" x14ac:dyDescent="0.35">
      <c r="I70" s="4"/>
    </row>
    <row r="71" spans="4:13" x14ac:dyDescent="0.35">
      <c r="I71" s="3"/>
      <c r="K71" s="28"/>
      <c r="L71" s="28"/>
      <c r="M71" s="28"/>
    </row>
    <row r="72" spans="4:13" x14ac:dyDescent="0.35">
      <c r="I72" s="4"/>
    </row>
    <row r="73" spans="4:13" x14ac:dyDescent="0.35">
      <c r="I73" s="3"/>
      <c r="M73" s="29"/>
    </row>
    <row r="74" spans="4:13" x14ac:dyDescent="0.35">
      <c r="I74" s="4"/>
    </row>
    <row r="75" spans="4:13" x14ac:dyDescent="0.35">
      <c r="I75" s="3"/>
    </row>
  </sheetData>
  <mergeCells count="3">
    <mergeCell ref="G7:G8"/>
    <mergeCell ref="I7:I8"/>
    <mergeCell ref="J7:J8"/>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75"/>
  <sheetViews>
    <sheetView topLeftCell="A7" workbookViewId="0">
      <selection activeCell="K55" sqref="K55:L61"/>
    </sheetView>
  </sheetViews>
  <sheetFormatPr defaultRowHeight="14.5" x14ac:dyDescent="0.35"/>
  <cols>
    <col min="1" max="1" width="9.7265625" customWidth="1"/>
    <col min="2" max="2" width="12.453125" bestFit="1" customWidth="1"/>
    <col min="3" max="4" width="11" style="2" bestFit="1" customWidth="1"/>
    <col min="5" max="5" width="16.1796875" style="2" bestFit="1" customWidth="1"/>
    <col min="6" max="6" width="3.453125" customWidth="1"/>
    <col min="7" max="7" width="13" style="2" customWidth="1"/>
    <col min="8" max="8" width="3.7265625" customWidth="1"/>
    <col min="9" max="9" width="17.54296875" customWidth="1"/>
    <col min="10" max="10" width="11.7265625" style="5" customWidth="1"/>
    <col min="11" max="14" width="14.54296875" style="15" customWidth="1"/>
    <col min="15" max="15" width="8.7265625" style="5"/>
    <col min="19" max="19" width="15.26953125" style="2" bestFit="1" customWidth="1"/>
  </cols>
  <sheetData>
    <row r="1" spans="1:15" x14ac:dyDescent="0.35">
      <c r="A1" t="s">
        <v>39</v>
      </c>
      <c r="B1" s="10">
        <f>+Summary!B11</f>
        <v>55000000</v>
      </c>
    </row>
    <row r="2" spans="1:15" x14ac:dyDescent="0.35">
      <c r="A2" t="s">
        <v>9</v>
      </c>
      <c r="B2">
        <v>20</v>
      </c>
    </row>
    <row r="3" spans="1:15" x14ac:dyDescent="0.35">
      <c r="A3" t="s">
        <v>0</v>
      </c>
      <c r="B3" s="3">
        <f>'40 mil 20yrs_VT Bond Bank'!B3</f>
        <v>2.6200000000000001E-2</v>
      </c>
      <c r="I3" s="2"/>
    </row>
    <row r="4" spans="1:15" x14ac:dyDescent="0.35">
      <c r="A4" t="s">
        <v>17</v>
      </c>
      <c r="C4"/>
      <c r="D4" s="5">
        <v>1.627</v>
      </c>
      <c r="E4" s="2" t="s">
        <v>18</v>
      </c>
      <c r="I4" s="3"/>
    </row>
    <row r="5" spans="1:15" x14ac:dyDescent="0.35">
      <c r="A5" s="9" t="s">
        <v>2</v>
      </c>
      <c r="B5" s="9"/>
      <c r="C5" s="9"/>
      <c r="D5" s="10">
        <v>14905614</v>
      </c>
      <c r="I5" s="3"/>
    </row>
    <row r="6" spans="1:15" x14ac:dyDescent="0.35">
      <c r="A6" s="9"/>
      <c r="B6" s="9"/>
      <c r="C6" s="9"/>
      <c r="D6" s="10"/>
      <c r="I6" s="3"/>
      <c r="K6" s="15" t="s">
        <v>15</v>
      </c>
      <c r="L6" s="15" t="s">
        <v>15</v>
      </c>
    </row>
    <row r="7" spans="1:15" x14ac:dyDescent="0.35">
      <c r="A7" s="11"/>
      <c r="B7" s="11"/>
      <c r="C7" s="12"/>
      <c r="D7" s="12"/>
      <c r="E7" s="12"/>
      <c r="F7" s="11"/>
      <c r="G7" s="394" t="s">
        <v>13</v>
      </c>
      <c r="H7" s="11"/>
      <c r="I7" s="396" t="s">
        <v>5</v>
      </c>
      <c r="J7" s="397" t="s">
        <v>16</v>
      </c>
      <c r="K7" s="16">
        <v>300000</v>
      </c>
      <c r="L7" s="16">
        <v>500000</v>
      </c>
      <c r="M7" s="16"/>
      <c r="N7" s="16"/>
    </row>
    <row r="8" spans="1:15" ht="15" thickBot="1" x14ac:dyDescent="0.4">
      <c r="A8" s="13" t="s">
        <v>3</v>
      </c>
      <c r="B8" s="13" t="s">
        <v>6</v>
      </c>
      <c r="C8" s="14" t="s">
        <v>1</v>
      </c>
      <c r="D8" s="14" t="s">
        <v>0</v>
      </c>
      <c r="E8" s="14" t="s">
        <v>12</v>
      </c>
      <c r="F8" s="13"/>
      <c r="G8" s="395"/>
      <c r="H8" s="13"/>
      <c r="I8" s="387"/>
      <c r="J8" s="398"/>
      <c r="K8" s="17" t="s">
        <v>4</v>
      </c>
      <c r="L8" s="17" t="s">
        <v>4</v>
      </c>
      <c r="M8" s="17"/>
      <c r="N8" s="17"/>
      <c r="O8" s="6"/>
    </row>
    <row r="9" spans="1:15" x14ac:dyDescent="0.35">
      <c r="E9" s="2">
        <f>+B1</f>
        <v>55000000</v>
      </c>
      <c r="M9" s="15">
        <f>+' Cost per Eq Pupil'!D15</f>
        <v>17904.444344633212</v>
      </c>
      <c r="O9" s="2"/>
    </row>
    <row r="10" spans="1:15" x14ac:dyDescent="0.35">
      <c r="A10">
        <v>1</v>
      </c>
      <c r="B10" t="s">
        <v>7</v>
      </c>
      <c r="D10" s="2">
        <f>+(B$1/'40 mil 20yrs_VT Bond Bank'!B$1)*'40 mil 20yrs_VT Bond Bank'!D10</f>
        <v>413773.25</v>
      </c>
      <c r="E10" s="2">
        <f>+E9-C10</f>
        <v>55000000</v>
      </c>
      <c r="I10" s="4"/>
    </row>
    <row r="11" spans="1:15" x14ac:dyDescent="0.35">
      <c r="B11" t="s">
        <v>8</v>
      </c>
      <c r="D11" s="2">
        <f>+(B$1/'40 mil 20yrs_VT Bond Bank'!B$1)*'40 mil 20yrs_VT Bond Bank'!D11</f>
        <v>615529.75</v>
      </c>
      <c r="E11" s="2">
        <f t="shared" ref="E11:E51" si="0">+E10-C11</f>
        <v>55000000</v>
      </c>
      <c r="G11" s="2">
        <f>+D11+D10+C10+C11</f>
        <v>1029303</v>
      </c>
      <c r="I11" s="3">
        <f>+G11/D$5</f>
        <v>6.9054719919622226E-2</v>
      </c>
      <c r="J11" s="5">
        <f>+(D$4*(1+I11))-D$4</f>
        <v>0.1123520293092255</v>
      </c>
      <c r="K11" s="28">
        <f>+$J11*K$7/100</f>
        <v>337.05608792767651</v>
      </c>
      <c r="L11" s="28">
        <f>+$J11*L$7/100</f>
        <v>561.76014654612754</v>
      </c>
      <c r="M11" s="28">
        <f>+(G11+' Cost per Eq Pupil'!D$13)/' Cost per Eq Pupil'!D$11</f>
        <v>19060.224350696742</v>
      </c>
      <c r="N11" s="28"/>
      <c r="O11" s="2"/>
    </row>
    <row r="12" spans="1:15" x14ac:dyDescent="0.35">
      <c r="A12">
        <f>+A10+1</f>
        <v>2</v>
      </c>
      <c r="B12" t="s">
        <v>7</v>
      </c>
      <c r="C12" s="2">
        <f>+B$1/B$2</f>
        <v>2750000</v>
      </c>
      <c r="D12" s="2">
        <f>+(B$1/'40 mil 20yrs_VT Bond Bank'!B$1)*'40 mil 20yrs_VT Bond Bank'!D12</f>
        <v>615529.75</v>
      </c>
      <c r="E12" s="2">
        <f t="shared" si="0"/>
        <v>52250000</v>
      </c>
      <c r="I12" s="4"/>
    </row>
    <row r="13" spans="1:15" x14ac:dyDescent="0.35">
      <c r="B13" t="s">
        <v>8</v>
      </c>
      <c r="D13" s="2">
        <f>+(B$1/'40 mil 20yrs_VT Bond Bank'!B$1)*'40 mil 20yrs_VT Bond Bank'!D13</f>
        <v>596967.25</v>
      </c>
      <c r="E13" s="2">
        <f t="shared" si="0"/>
        <v>52250000</v>
      </c>
      <c r="G13" s="2">
        <f>+D13+D12+C12+C13</f>
        <v>3962497</v>
      </c>
      <c r="I13" s="3">
        <f>+G13/D$5</f>
        <v>0.2658392334592859</v>
      </c>
      <c r="J13" s="5">
        <f>+(D$4*(1+I13))-D$4</f>
        <v>0.43252043283825814</v>
      </c>
      <c r="K13" s="28">
        <f>+$J13*K$7/100</f>
        <v>1297.5612985147743</v>
      </c>
      <c r="L13" s="28">
        <f>+$J13*L$7/100</f>
        <v>2162.6021641912907</v>
      </c>
      <c r="M13" s="28">
        <f>+(G13+' Cost per Eq Pupil'!D$13)/' Cost per Eq Pupil'!D$11</f>
        <v>22353.838552836947</v>
      </c>
      <c r="N13" s="28"/>
      <c r="O13" s="2"/>
    </row>
    <row r="14" spans="1:15" x14ac:dyDescent="0.35">
      <c r="A14">
        <f>+A12+1</f>
        <v>3</v>
      </c>
      <c r="B14" t="s">
        <v>7</v>
      </c>
      <c r="C14" s="2">
        <f>+B$1/B$2</f>
        <v>2750000</v>
      </c>
      <c r="D14" s="2">
        <f>+(B$1/'40 mil 20yrs_VT Bond Bank'!B$1)*'40 mil 20yrs_VT Bond Bank'!D14</f>
        <v>596967.25</v>
      </c>
      <c r="E14" s="2">
        <f t="shared" si="0"/>
        <v>49500000</v>
      </c>
      <c r="I14" s="4"/>
    </row>
    <row r="15" spans="1:15" x14ac:dyDescent="0.35">
      <c r="B15" t="s">
        <v>8</v>
      </c>
      <c r="D15" s="2">
        <f>+(B$1/'40 mil 20yrs_VT Bond Bank'!B$1)*'40 mil 20yrs_VT Bond Bank'!D15</f>
        <v>577992.25</v>
      </c>
      <c r="E15" s="2">
        <f t="shared" si="0"/>
        <v>49500000</v>
      </c>
      <c r="G15" s="2">
        <f>+D15+D14+C14+C15</f>
        <v>3924959.5</v>
      </c>
      <c r="I15" s="3">
        <f>+G15/D$5</f>
        <v>0.26332088701612694</v>
      </c>
      <c r="J15" s="5">
        <f>+(D$4*(1+I15))-D$4</f>
        <v>0.42842308317523847</v>
      </c>
      <c r="K15" s="28">
        <f>+$J15*K$7/100</f>
        <v>1285.2692495257154</v>
      </c>
      <c r="L15" s="28">
        <f>+$J15*L$7/100</f>
        <v>2142.1154158761924</v>
      </c>
      <c r="M15" s="28">
        <f>+(G15+' Cost per Eq Pupil'!D$13)/' Cost per Eq Pupil'!D$11</f>
        <v>22311.688581470295</v>
      </c>
      <c r="N15" s="28"/>
      <c r="O15" s="2"/>
    </row>
    <row r="16" spans="1:15" x14ac:dyDescent="0.35">
      <c r="A16">
        <f>+A14+1</f>
        <v>4</v>
      </c>
      <c r="B16" t="s">
        <v>7</v>
      </c>
      <c r="C16" s="2">
        <f>+B$1/B$2</f>
        <v>2750000</v>
      </c>
      <c r="D16" s="2">
        <f>+(B$1/'40 mil 20yrs_VT Bond Bank'!B$1)*'40 mil 20yrs_VT Bond Bank'!D16</f>
        <v>577992.25</v>
      </c>
      <c r="E16" s="2">
        <f t="shared" si="0"/>
        <v>46750000</v>
      </c>
      <c r="I16" s="4"/>
    </row>
    <row r="17" spans="1:14" x14ac:dyDescent="0.35">
      <c r="B17" t="s">
        <v>8</v>
      </c>
      <c r="D17" s="2">
        <f>+(B$1/'40 mil 20yrs_VT Bond Bank'!B$1)*'40 mil 20yrs_VT Bond Bank'!D17</f>
        <v>558650.125</v>
      </c>
      <c r="E17" s="2">
        <f t="shared" si="0"/>
        <v>46750000</v>
      </c>
      <c r="G17" s="2">
        <f>+D17+D16+C16+C17</f>
        <v>3886642.375</v>
      </c>
      <c r="I17" s="3">
        <f>+G17/D$5</f>
        <v>0.26075023645453316</v>
      </c>
      <c r="J17" s="5">
        <f>+(D$4*(1+I17))-D$4</f>
        <v>0.42424063471152551</v>
      </c>
      <c r="K17" s="28">
        <f>+$J17*K$7/100</f>
        <v>1272.7219041345766</v>
      </c>
      <c r="L17" s="28">
        <f>+$J17*L$7/100</f>
        <v>2121.2031735576275</v>
      </c>
      <c r="M17" s="28"/>
      <c r="N17" s="28"/>
    </row>
    <row r="18" spans="1:14" x14ac:dyDescent="0.35">
      <c r="A18">
        <f>+A16+1</f>
        <v>5</v>
      </c>
      <c r="B18" t="s">
        <v>7</v>
      </c>
      <c r="C18" s="2">
        <f>+B$1/B$2</f>
        <v>2750000</v>
      </c>
      <c r="D18" s="2">
        <f>+(B$1/'40 mil 20yrs_VT Bond Bank'!B$1)*'40 mil 20yrs_VT Bond Bank'!D18</f>
        <v>558650.125</v>
      </c>
      <c r="E18" s="2">
        <f t="shared" si="0"/>
        <v>44000000</v>
      </c>
      <c r="I18" s="4"/>
    </row>
    <row r="19" spans="1:14" x14ac:dyDescent="0.35">
      <c r="B19" t="s">
        <v>8</v>
      </c>
      <c r="D19" s="2">
        <f>+(B$1/'40 mil 20yrs_VT Bond Bank'!B$1)*'40 mil 20yrs_VT Bond Bank'!D19</f>
        <v>538942.25</v>
      </c>
      <c r="E19" s="2">
        <f t="shared" si="0"/>
        <v>44000000</v>
      </c>
      <c r="G19" s="2">
        <f>+D19+D18+C18+C19</f>
        <v>3847592.375</v>
      </c>
      <c r="I19" s="3">
        <f>+G19/D$5</f>
        <v>0.25813041817666821</v>
      </c>
      <c r="J19" s="5">
        <f>+(D$4*(1+I19))-D$4</f>
        <v>0.41997819037343898</v>
      </c>
      <c r="K19" s="28">
        <f>+$J19*K$7/100</f>
        <v>1259.9345711203171</v>
      </c>
      <c r="L19" s="28">
        <f>+$J19*L$7/100</f>
        <v>2099.8909518671949</v>
      </c>
      <c r="M19" s="28"/>
      <c r="N19" s="28"/>
    </row>
    <row r="20" spans="1:14" x14ac:dyDescent="0.35">
      <c r="A20">
        <f>+A18+1</f>
        <v>6</v>
      </c>
      <c r="B20" t="s">
        <v>7</v>
      </c>
      <c r="C20" s="2">
        <f>+B$1/B$2</f>
        <v>2750000</v>
      </c>
      <c r="D20" s="2">
        <f>+(B$1/'40 mil 20yrs_VT Bond Bank'!B$1)*'40 mil 20yrs_VT Bond Bank'!D20</f>
        <v>538942.25</v>
      </c>
      <c r="E20" s="2">
        <f t="shared" si="0"/>
        <v>41250000</v>
      </c>
      <c r="I20" s="4"/>
    </row>
    <row r="21" spans="1:14" x14ac:dyDescent="0.35">
      <c r="B21" t="s">
        <v>8</v>
      </c>
      <c r="D21" s="2">
        <f>+(B$1/'40 mil 20yrs_VT Bond Bank'!B$1)*'40 mil 20yrs_VT Bond Bank'!D21</f>
        <v>518867.25</v>
      </c>
      <c r="E21" s="2">
        <f t="shared" si="0"/>
        <v>41250000</v>
      </c>
      <c r="G21" s="2">
        <f>+D21+D20+C20+C21</f>
        <v>3807809.5</v>
      </c>
      <c r="I21" s="3">
        <f>+G21/D$5</f>
        <v>0.25546143218253203</v>
      </c>
      <c r="J21" s="5">
        <f>+(D$4*(1+I21))-D$4</f>
        <v>0.41563575016097931</v>
      </c>
      <c r="K21" s="28">
        <f>+$J21*K$7/100</f>
        <v>1246.907250482938</v>
      </c>
      <c r="L21" s="28">
        <f>+$J21*L$7/100</f>
        <v>2078.1787508048965</v>
      </c>
      <c r="M21" s="28"/>
      <c r="N21" s="28"/>
    </row>
    <row r="22" spans="1:14" x14ac:dyDescent="0.35">
      <c r="A22">
        <f>+A20+1</f>
        <v>7</v>
      </c>
      <c r="B22" t="s">
        <v>7</v>
      </c>
      <c r="C22" s="2">
        <f>+B$1/B$2</f>
        <v>2750000</v>
      </c>
      <c r="D22" s="2">
        <f>+(B$1/'40 mil 20yrs_VT Bond Bank'!B$1)*'40 mil 20yrs_VT Bond Bank'!D22</f>
        <v>518867.25</v>
      </c>
      <c r="E22" s="2">
        <f t="shared" si="0"/>
        <v>38500000</v>
      </c>
      <c r="I22" s="4"/>
    </row>
    <row r="23" spans="1:14" x14ac:dyDescent="0.35">
      <c r="B23" t="s">
        <v>8</v>
      </c>
      <c r="D23" s="2">
        <f>+(B$1/'40 mil 20yrs_VT Bond Bank'!B$1)*'40 mil 20yrs_VT Bond Bank'!D23</f>
        <v>497582.25</v>
      </c>
      <c r="E23" s="2">
        <f t="shared" si="0"/>
        <v>38500000</v>
      </c>
      <c r="G23" s="2">
        <f>+D23+D22+C22+C23</f>
        <v>3766449.5</v>
      </c>
      <c r="I23" s="3">
        <f>+G23/D$5</f>
        <v>0.25268663873893421</v>
      </c>
      <c r="J23" s="5">
        <f>+(D$4*(1+I23))-D$4</f>
        <v>0.41112116122824571</v>
      </c>
      <c r="K23" s="28">
        <f>+$J23*K$7/100</f>
        <v>1233.363483684737</v>
      </c>
      <c r="L23" s="28">
        <f>+$J23*L$7/100</f>
        <v>2055.6058061412286</v>
      </c>
      <c r="M23" s="28"/>
      <c r="N23" s="28"/>
    </row>
    <row r="24" spans="1:14" x14ac:dyDescent="0.35">
      <c r="A24">
        <f>+A22+1</f>
        <v>8</v>
      </c>
      <c r="B24" t="s">
        <v>7</v>
      </c>
      <c r="C24" s="2">
        <f>+B$1/B$2</f>
        <v>2750000</v>
      </c>
      <c r="D24" s="2">
        <f>+(B$1/'40 mil 20yrs_VT Bond Bank'!B$1)*'40 mil 20yrs_VT Bond Bank'!D24</f>
        <v>497582.25</v>
      </c>
      <c r="E24" s="2">
        <f t="shared" si="0"/>
        <v>35750000</v>
      </c>
      <c r="I24" s="4"/>
    </row>
    <row r="25" spans="1:14" x14ac:dyDescent="0.35">
      <c r="B25" t="s">
        <v>8</v>
      </c>
      <c r="D25" s="2">
        <f>+(B$1/'40 mil 20yrs_VT Bond Bank'!B$1)*'40 mil 20yrs_VT Bond Bank'!D25</f>
        <v>475087.25</v>
      </c>
      <c r="E25" s="2">
        <f t="shared" si="0"/>
        <v>35750000</v>
      </c>
      <c r="G25" s="2">
        <f>+D25+D24+C24+C25</f>
        <v>3722669.5</v>
      </c>
      <c r="I25" s="3">
        <f>+G25/D$5</f>
        <v>0.2497494903598067</v>
      </c>
      <c r="J25" s="5">
        <f>+(D$4*(1+I25))-D$4</f>
        <v>0.40634242081540539</v>
      </c>
      <c r="K25" s="28">
        <f>+$J25*K$7/100</f>
        <v>1219.0272624462161</v>
      </c>
      <c r="L25" s="28">
        <f>+$J25*L$7/100</f>
        <v>2031.7121040770269</v>
      </c>
      <c r="M25" s="28"/>
      <c r="N25" s="28"/>
    </row>
    <row r="26" spans="1:14" x14ac:dyDescent="0.35">
      <c r="A26">
        <f>+A24+1</f>
        <v>9</v>
      </c>
      <c r="B26" t="s">
        <v>7</v>
      </c>
      <c r="C26" s="2">
        <f>+B$1/B$2</f>
        <v>2750000</v>
      </c>
      <c r="D26" s="2">
        <f>+(B$1/'40 mil 20yrs_VT Bond Bank'!B$1)*'40 mil 20yrs_VT Bond Bank'!D26</f>
        <v>475087.25</v>
      </c>
      <c r="E26" s="2">
        <f t="shared" si="0"/>
        <v>33000000</v>
      </c>
      <c r="I26" s="4"/>
    </row>
    <row r="27" spans="1:14" x14ac:dyDescent="0.35">
      <c r="B27" t="s">
        <v>8</v>
      </c>
      <c r="D27" s="2">
        <f>+(B$1/'40 mil 20yrs_VT Bond Bank'!B$1)*'40 mil 20yrs_VT Bond Bank'!D27</f>
        <v>451382.25</v>
      </c>
      <c r="E27" s="2">
        <f t="shared" si="0"/>
        <v>33000000</v>
      </c>
      <c r="G27" s="2">
        <f>+D27+D26+C26+C27</f>
        <v>3676469.5</v>
      </c>
      <c r="I27" s="3">
        <f>+G27/D$5</f>
        <v>0.24664998704514957</v>
      </c>
      <c r="J27" s="5">
        <f>+(D$4*(1+I27))-D$4</f>
        <v>0.40129952892245835</v>
      </c>
      <c r="K27" s="28">
        <f>+$J27*K$7/100</f>
        <v>1203.898586767375</v>
      </c>
      <c r="L27" s="28">
        <f>+$J27*L$7/100</f>
        <v>2006.4976446122919</v>
      </c>
      <c r="M27" s="28"/>
      <c r="N27" s="28"/>
    </row>
    <row r="28" spans="1:14" x14ac:dyDescent="0.35">
      <c r="A28">
        <f>+A26+1</f>
        <v>10</v>
      </c>
      <c r="B28" t="s">
        <v>7</v>
      </c>
      <c r="C28" s="2">
        <f>+B$1/B$2</f>
        <v>2750000</v>
      </c>
      <c r="D28" s="2">
        <f>+(B$1/'40 mil 20yrs_VT Bond Bank'!B$1)*'40 mil 20yrs_VT Bond Bank'!D28</f>
        <v>451382.25</v>
      </c>
      <c r="E28" s="2">
        <f t="shared" si="0"/>
        <v>30250000</v>
      </c>
      <c r="I28" s="4"/>
    </row>
    <row r="29" spans="1:14" x14ac:dyDescent="0.35">
      <c r="B29" t="s">
        <v>8</v>
      </c>
      <c r="D29" s="2">
        <f>+(B$1/'40 mil 20yrs_VT Bond Bank'!B$1)*'40 mil 20yrs_VT Bond Bank'!D29</f>
        <v>426467.25</v>
      </c>
      <c r="E29" s="2">
        <f t="shared" si="0"/>
        <v>30250000</v>
      </c>
      <c r="G29" s="2">
        <f>+D29+D28+C28+C29</f>
        <v>3627849.5</v>
      </c>
      <c r="I29" s="3">
        <f>+G29/D$5</f>
        <v>0.24338812879496274</v>
      </c>
      <c r="J29" s="5">
        <f>+(D$4*(1+I29))-D$4</f>
        <v>0.39599248554940414</v>
      </c>
      <c r="K29" s="28">
        <f>+$J29*K$7/100</f>
        <v>1187.9774566482124</v>
      </c>
      <c r="L29" s="28">
        <f>+$J29*L$7/100</f>
        <v>1979.9624277470205</v>
      </c>
      <c r="M29" s="28"/>
      <c r="N29" s="28"/>
    </row>
    <row r="30" spans="1:14" x14ac:dyDescent="0.35">
      <c r="A30">
        <f>+A28+1</f>
        <v>11</v>
      </c>
      <c r="B30" t="s">
        <v>7</v>
      </c>
      <c r="C30" s="2">
        <f>+B$1/B$2</f>
        <v>2750000</v>
      </c>
      <c r="D30" s="2">
        <f>+(B$1/'40 mil 20yrs_VT Bond Bank'!B$1)*'40 mil 20yrs_VT Bond Bank'!D30</f>
        <v>426467.25</v>
      </c>
      <c r="E30" s="2">
        <f t="shared" si="0"/>
        <v>27500000</v>
      </c>
      <c r="I30" s="4"/>
    </row>
    <row r="31" spans="1:14" x14ac:dyDescent="0.35">
      <c r="B31" t="s">
        <v>8</v>
      </c>
      <c r="D31" s="2">
        <f>+(B$1/'40 mil 20yrs_VT Bond Bank'!B$1)*'40 mil 20yrs_VT Bond Bank'!D31</f>
        <v>400342.25</v>
      </c>
      <c r="E31" s="2">
        <f t="shared" si="0"/>
        <v>27500000</v>
      </c>
      <c r="G31" s="2">
        <f>+D31+D30+C30+C31</f>
        <v>3576809.5</v>
      </c>
      <c r="I31" s="3">
        <f>+G31/D$5</f>
        <v>0.23996391560924629</v>
      </c>
      <c r="J31" s="5">
        <f>+(D$4*(1+I31))-D$4</f>
        <v>0.39042129069624365</v>
      </c>
      <c r="K31" s="28">
        <f>+$J31*K$7/100</f>
        <v>1171.263872088731</v>
      </c>
      <c r="L31" s="28">
        <f>+$J31*L$7/100</f>
        <v>1952.1064534812183</v>
      </c>
      <c r="M31" s="28"/>
      <c r="N31" s="28"/>
    </row>
    <row r="32" spans="1:14" x14ac:dyDescent="0.35">
      <c r="A32">
        <f>+A30+1</f>
        <v>12</v>
      </c>
      <c r="B32" t="s">
        <v>7</v>
      </c>
      <c r="C32" s="2">
        <f>+B$1/B$2</f>
        <v>2750000</v>
      </c>
      <c r="D32" s="2">
        <f>+(B$1/'40 mil 20yrs_VT Bond Bank'!B$1)*'40 mil 20yrs_VT Bond Bank'!D32</f>
        <v>400342.25</v>
      </c>
      <c r="E32" s="2">
        <f t="shared" si="0"/>
        <v>24750000</v>
      </c>
      <c r="I32" s="4"/>
    </row>
    <row r="33" spans="1:14" x14ac:dyDescent="0.35">
      <c r="B33" t="s">
        <v>8</v>
      </c>
      <c r="D33" s="2">
        <f>+(B$1/'40 mil 20yrs_VT Bond Bank'!B$1)*'40 mil 20yrs_VT Bond Bank'!D33</f>
        <v>370508.875</v>
      </c>
      <c r="E33" s="2">
        <f t="shared" si="0"/>
        <v>24750000</v>
      </c>
      <c r="G33" s="2">
        <f>+D33+D32+C32+C33</f>
        <v>3520851.125</v>
      </c>
      <c r="I33" s="3">
        <f>+G33/D$5</f>
        <v>0.23620973446649027</v>
      </c>
      <c r="J33" s="5">
        <f>+(D$4*(1+I33))-D$4</f>
        <v>0.38431323797697936</v>
      </c>
      <c r="K33" s="28">
        <f>+$J33*K$7/100</f>
        <v>1152.9397139309381</v>
      </c>
      <c r="L33" s="28">
        <f>+$J33*L$7/100</f>
        <v>1921.5661898848966</v>
      </c>
      <c r="M33" s="28"/>
      <c r="N33" s="28"/>
    </row>
    <row r="34" spans="1:14" x14ac:dyDescent="0.35">
      <c r="A34">
        <f>+A32+1</f>
        <v>13</v>
      </c>
      <c r="B34" t="s">
        <v>7</v>
      </c>
      <c r="C34" s="2">
        <f>+B$1/B$2</f>
        <v>2750000</v>
      </c>
      <c r="D34" s="2">
        <f>+(B$1/'40 mil 20yrs_VT Bond Bank'!B$1)*'40 mil 20yrs_VT Bond Bank'!D34</f>
        <v>370508.875</v>
      </c>
      <c r="E34" s="2">
        <f t="shared" si="0"/>
        <v>22000000</v>
      </c>
      <c r="I34" s="4"/>
    </row>
    <row r="35" spans="1:14" x14ac:dyDescent="0.35">
      <c r="B35" t="s">
        <v>8</v>
      </c>
      <c r="D35" s="2">
        <f>+(B$1/'40 mil 20yrs_VT Bond Bank'!B$1)*'40 mil 20yrs_VT Bond Bank'!D35</f>
        <v>337497.875</v>
      </c>
      <c r="E35" s="2">
        <f t="shared" si="0"/>
        <v>22000000</v>
      </c>
      <c r="G35" s="2">
        <f>+D35+D34+C34+C35</f>
        <v>3458006.75</v>
      </c>
      <c r="I35" s="3">
        <f>+G35/D$5</f>
        <v>0.23199357973445442</v>
      </c>
      <c r="J35" s="5">
        <f>+(D$4*(1+I35))-D$4</f>
        <v>0.37745355422795712</v>
      </c>
      <c r="K35" s="28">
        <f>+$J35*K$7/100</f>
        <v>1132.3606626838714</v>
      </c>
      <c r="L35" s="28">
        <f>+$J35*L$7/100</f>
        <v>1887.2677711397855</v>
      </c>
      <c r="M35" s="28"/>
      <c r="N35" s="28"/>
    </row>
    <row r="36" spans="1:14" x14ac:dyDescent="0.35">
      <c r="A36">
        <f>+A34+1</f>
        <v>14</v>
      </c>
      <c r="B36" t="s">
        <v>7</v>
      </c>
      <c r="C36" s="2">
        <f>+B$1/B$2</f>
        <v>2750000</v>
      </c>
      <c r="D36" s="2">
        <f>+(B$1/'40 mil 20yrs_VT Bond Bank'!B$1)*'40 mil 20yrs_VT Bond Bank'!D36</f>
        <v>337497.875</v>
      </c>
      <c r="E36" s="2">
        <f t="shared" si="0"/>
        <v>19250000</v>
      </c>
      <c r="I36" s="4"/>
    </row>
    <row r="37" spans="1:14" x14ac:dyDescent="0.35">
      <c r="B37" t="s">
        <v>8</v>
      </c>
      <c r="D37" s="2">
        <f>+(B$1/'40 mil 20yrs_VT Bond Bank'!B$1)*'40 mil 20yrs_VT Bond Bank'!D37</f>
        <v>301728.625</v>
      </c>
      <c r="E37" s="2">
        <f t="shared" si="0"/>
        <v>19250000</v>
      </c>
      <c r="G37" s="2">
        <f>+D37+D36+C36+C37</f>
        <v>3389226.5</v>
      </c>
      <c r="I37" s="3">
        <f>+G37/D$5</f>
        <v>0.22737919417475858</v>
      </c>
      <c r="J37" s="5">
        <f>+(D$4*(1+I37))-D$4</f>
        <v>0.36994594892233201</v>
      </c>
      <c r="K37" s="28">
        <f>+$J37*K$7/100</f>
        <v>1109.8378467669961</v>
      </c>
      <c r="L37" s="28">
        <f>+$J37*L$7/100</f>
        <v>1849.7297446116602</v>
      </c>
      <c r="M37" s="28"/>
      <c r="N37" s="28"/>
    </row>
    <row r="38" spans="1:14" x14ac:dyDescent="0.35">
      <c r="A38">
        <f>+A36+1</f>
        <v>15</v>
      </c>
      <c r="B38" t="s">
        <v>7</v>
      </c>
      <c r="C38" s="2">
        <f>+B$1/B$2</f>
        <v>2750000</v>
      </c>
      <c r="D38" s="2">
        <f>+(B$1/'40 mil 20yrs_VT Bond Bank'!B$1)*'40 mil 20yrs_VT Bond Bank'!D38</f>
        <v>301728.625</v>
      </c>
      <c r="E38" s="2">
        <f t="shared" si="0"/>
        <v>16500000</v>
      </c>
      <c r="I38" s="4"/>
    </row>
    <row r="39" spans="1:14" x14ac:dyDescent="0.35">
      <c r="B39" t="s">
        <v>8</v>
      </c>
      <c r="D39" s="2">
        <f>+(B$1/'40 mil 20yrs_VT Bond Bank'!B$1)*'40 mil 20yrs_VT Bond Bank'!D39</f>
        <v>263539.375</v>
      </c>
      <c r="E39" s="2">
        <f t="shared" si="0"/>
        <v>16500000</v>
      </c>
      <c r="G39" s="2">
        <f>+D39+D38+C38+C39</f>
        <v>3315268</v>
      </c>
      <c r="I39" s="3">
        <f>+G39/D$5</f>
        <v>0.22241740595187826</v>
      </c>
      <c r="J39" s="5">
        <f>+(D$4*(1+I39))-D$4</f>
        <v>0.36187311948370593</v>
      </c>
      <c r="K39" s="28">
        <f>+$J39*K$7/100</f>
        <v>1085.6193584511177</v>
      </c>
      <c r="L39" s="28">
        <f>+$J39*L$7/100</f>
        <v>1809.3655974185294</v>
      </c>
      <c r="M39" s="28"/>
      <c r="N39" s="28"/>
    </row>
    <row r="40" spans="1:14" x14ac:dyDescent="0.35">
      <c r="A40">
        <f>+A38+1</f>
        <v>16</v>
      </c>
      <c r="B40" t="s">
        <v>7</v>
      </c>
      <c r="C40" s="2">
        <f>+B$1/B$2</f>
        <v>2750000</v>
      </c>
      <c r="D40" s="2">
        <f>+(B$1/'40 mil 20yrs_VT Bond Bank'!B$1)*'40 mil 20yrs_VT Bond Bank'!D40</f>
        <v>263539.375</v>
      </c>
      <c r="E40" s="2">
        <f t="shared" si="0"/>
        <v>13750000</v>
      </c>
      <c r="I40" s="4"/>
    </row>
    <row r="41" spans="1:14" x14ac:dyDescent="0.35">
      <c r="B41" t="s">
        <v>8</v>
      </c>
      <c r="D41" s="2">
        <f>+(B$1/'40 mil 20yrs_VT Bond Bank'!B$1)*'40 mil 20yrs_VT Bond Bank'!D41</f>
        <v>223205.125</v>
      </c>
      <c r="E41" s="2">
        <f t="shared" si="0"/>
        <v>13750000</v>
      </c>
      <c r="G41" s="2">
        <f>+D41+D40+C40+C41</f>
        <v>3236744.5</v>
      </c>
      <c r="I41" s="3">
        <f>+G41/D$5</f>
        <v>0.21714935728243062</v>
      </c>
      <c r="J41" s="5">
        <f>+(D$4*(1+I41))-D$4</f>
        <v>0.35330200429851444</v>
      </c>
      <c r="K41" s="28">
        <f>+$J41*K$7/100</f>
        <v>1059.9060128955432</v>
      </c>
      <c r="L41" s="28">
        <f>+$J41*L$7/100</f>
        <v>1766.5100214925724</v>
      </c>
      <c r="M41" s="28"/>
      <c r="N41" s="28"/>
    </row>
    <row r="42" spans="1:14" x14ac:dyDescent="0.35">
      <c r="A42">
        <f>+A40+1</f>
        <v>17</v>
      </c>
      <c r="B42" t="s">
        <v>7</v>
      </c>
      <c r="C42" s="2">
        <f>+B$1/B$2</f>
        <v>2750000</v>
      </c>
      <c r="D42" s="2">
        <f>+(B$1/'40 mil 20yrs_VT Bond Bank'!B$1)*'40 mil 20yrs_VT Bond Bank'!D42</f>
        <v>223205.125</v>
      </c>
      <c r="E42" s="2">
        <f t="shared" si="0"/>
        <v>11000000</v>
      </c>
      <c r="I42" s="4"/>
    </row>
    <row r="43" spans="1:14" x14ac:dyDescent="0.35">
      <c r="B43" t="s">
        <v>8</v>
      </c>
      <c r="D43" s="2">
        <f>+(B$1/'40 mil 20yrs_VT Bond Bank'!B$1)*'40 mil 20yrs_VT Bond Bank'!D43</f>
        <v>181233.25</v>
      </c>
      <c r="E43" s="2">
        <f t="shared" si="0"/>
        <v>11000000</v>
      </c>
      <c r="G43" s="2">
        <f>+D43+D42+C42+C43</f>
        <v>3154438.375</v>
      </c>
      <c r="I43" s="3">
        <f>+G43/D$5</f>
        <v>0.21162753677909546</v>
      </c>
      <c r="J43" s="5">
        <f>+(D$4*(1+I43))-D$4</f>
        <v>0.3443180023395882</v>
      </c>
      <c r="K43" s="28">
        <f>+$J43*K$7/100</f>
        <v>1032.9540070187647</v>
      </c>
      <c r="L43" s="28">
        <f>+$J43*L$7/100</f>
        <v>1721.590011697941</v>
      </c>
      <c r="M43" s="28"/>
      <c r="N43" s="28"/>
    </row>
    <row r="44" spans="1:14" x14ac:dyDescent="0.35">
      <c r="A44">
        <f>+A42+1</f>
        <v>18</v>
      </c>
      <c r="B44" t="s">
        <v>7</v>
      </c>
      <c r="C44" s="2">
        <f>+B$1/B$2</f>
        <v>2750000</v>
      </c>
      <c r="D44" s="2">
        <f>+(B$1/'40 mil 20yrs_VT Bond Bank'!B$1)*'40 mil 20yrs_VT Bond Bank'!D44</f>
        <v>181233.25</v>
      </c>
      <c r="E44" s="2">
        <f t="shared" si="0"/>
        <v>8250000</v>
      </c>
      <c r="I44" s="4"/>
    </row>
    <row r="45" spans="1:14" x14ac:dyDescent="0.35">
      <c r="B45" t="s">
        <v>8</v>
      </c>
      <c r="D45" s="2">
        <f>+(B$1/'40 mil 20yrs_VT Bond Bank'!B$1)*'40 mil 20yrs_VT Bond Bank'!D45</f>
        <v>137795.625</v>
      </c>
      <c r="E45" s="2">
        <f t="shared" si="0"/>
        <v>8250000</v>
      </c>
      <c r="G45" s="2">
        <f>+D45+D44+C44+C45</f>
        <v>3069028.875</v>
      </c>
      <c r="I45" s="3">
        <f>+G45/D$5</f>
        <v>0.20589751452036797</v>
      </c>
      <c r="J45" s="5">
        <f>+(D$4*(1+I45))-D$4</f>
        <v>0.33499525612463854</v>
      </c>
      <c r="K45" s="28">
        <f>+$J45*K$7/100</f>
        <v>1004.9857683739157</v>
      </c>
      <c r="L45" s="28">
        <f>+$J45*L$7/100</f>
        <v>1674.9762806231927</v>
      </c>
      <c r="M45" s="28"/>
      <c r="N45" s="28"/>
    </row>
    <row r="46" spans="1:14" x14ac:dyDescent="0.35">
      <c r="A46">
        <f>+A44+1</f>
        <v>19</v>
      </c>
      <c r="B46" t="s">
        <v>7</v>
      </c>
      <c r="C46" s="2">
        <f>+B$1/B$2</f>
        <v>2750000</v>
      </c>
      <c r="D46" s="2">
        <f>+(B$1/'40 mil 20yrs_VT Bond Bank'!B$1)*'40 mil 20yrs_VT Bond Bank'!D46</f>
        <v>137795.625</v>
      </c>
      <c r="E46" s="2">
        <f t="shared" si="0"/>
        <v>5500000</v>
      </c>
      <c r="I46" s="4"/>
    </row>
    <row r="47" spans="1:14" x14ac:dyDescent="0.35">
      <c r="B47" t="s">
        <v>8</v>
      </c>
      <c r="D47" s="2">
        <f>+(B$1/'40 mil 20yrs_VT Bond Bank'!B$1)*'40 mil 20yrs_VT Bond Bank'!D47</f>
        <v>93032.5</v>
      </c>
      <c r="E47" s="2">
        <f t="shared" si="0"/>
        <v>5500000</v>
      </c>
      <c r="G47" s="2">
        <f>+D47+D46+C46+C47</f>
        <v>2980828.125</v>
      </c>
      <c r="I47" s="3">
        <f>+G47/D$5</f>
        <v>0.19998023060304662</v>
      </c>
      <c r="J47" s="5">
        <f>+(D$4*(1+I47))-D$4</f>
        <v>0.32536783519115708</v>
      </c>
      <c r="K47" s="28">
        <f>+$J47*K$7/100</f>
        <v>976.10350557347124</v>
      </c>
      <c r="L47" s="28">
        <f>+$J47*L$7/100</f>
        <v>1626.8391759557853</v>
      </c>
      <c r="M47" s="28"/>
      <c r="N47" s="28"/>
    </row>
    <row r="48" spans="1:14" x14ac:dyDescent="0.35">
      <c r="A48">
        <f>+A46+1</f>
        <v>20</v>
      </c>
      <c r="B48" t="s">
        <v>7</v>
      </c>
      <c r="C48" s="2">
        <f>+B$1/B$2</f>
        <v>2750000</v>
      </c>
      <c r="D48" s="2">
        <f>+(B$1/'40 mil 20yrs_VT Bond Bank'!B$1)*'40 mil 20yrs_VT Bond Bank'!D48</f>
        <v>93032.5</v>
      </c>
      <c r="E48" s="2">
        <f t="shared" si="0"/>
        <v>2750000</v>
      </c>
      <c r="I48" s="4"/>
    </row>
    <row r="49" spans="1:14" x14ac:dyDescent="0.35">
      <c r="B49" t="s">
        <v>8</v>
      </c>
      <c r="D49" s="2">
        <f>+(B$1/'40 mil 20yrs_VT Bond Bank'!B$1)*'40 mil 20yrs_VT Bond Bank'!D49</f>
        <v>47066.25</v>
      </c>
      <c r="E49" s="2">
        <f t="shared" si="0"/>
        <v>2750000</v>
      </c>
      <c r="G49" s="2">
        <f>+D49+D48+C48+C49</f>
        <v>2890098.75</v>
      </c>
      <c r="I49" s="3">
        <f>+G49/D$5</f>
        <v>0.19389330422752127</v>
      </c>
      <c r="J49" s="5">
        <f>+(D$4*(1+I49))-D$4</f>
        <v>0.31546440597817704</v>
      </c>
      <c r="K49" s="28">
        <f>+$J49*K$7/100</f>
        <v>946.39321793453109</v>
      </c>
      <c r="L49" s="28">
        <f>+$J49*L$7/100</f>
        <v>1577.3220298908852</v>
      </c>
      <c r="M49" s="28"/>
      <c r="N49" s="28"/>
    </row>
    <row r="50" spans="1:14" x14ac:dyDescent="0.35">
      <c r="A50">
        <f>+A48+1</f>
        <v>21</v>
      </c>
      <c r="B50" t="s">
        <v>7</v>
      </c>
      <c r="C50" s="2">
        <f>+B$1/B$2</f>
        <v>2750000</v>
      </c>
      <c r="D50" s="2">
        <f>+(B$1/'40 mil 20yrs_VT Bond Bank'!B$1)*'40 mil 20yrs_VT Bond Bank'!D50</f>
        <v>47066.25</v>
      </c>
      <c r="E50" s="2">
        <f t="shared" si="0"/>
        <v>0</v>
      </c>
      <c r="I50" s="4"/>
    </row>
    <row r="51" spans="1:14" x14ac:dyDescent="0.35">
      <c r="B51" t="s">
        <v>8</v>
      </c>
      <c r="E51" s="2">
        <f t="shared" si="0"/>
        <v>0</v>
      </c>
      <c r="G51" s="2">
        <f>+D51+D50+C50+C51</f>
        <v>2797066.25</v>
      </c>
      <c r="I51" s="3">
        <f>+G51/D$5</f>
        <v>0.18765186392187533</v>
      </c>
      <c r="J51" s="5">
        <f>+(D$4*(1+I51))-D$4</f>
        <v>0.30530958260089136</v>
      </c>
      <c r="K51" s="28">
        <f>+$J51*K$7/100</f>
        <v>915.92874780267402</v>
      </c>
      <c r="L51" s="28">
        <f>+$J51*L$7/100</f>
        <v>1526.5479130044569</v>
      </c>
      <c r="M51" s="28"/>
      <c r="N51" s="28"/>
    </row>
    <row r="52" spans="1:14" x14ac:dyDescent="0.35">
      <c r="I52" s="4"/>
    </row>
    <row r="53" spans="1:14" x14ac:dyDescent="0.35">
      <c r="B53" t="s">
        <v>11</v>
      </c>
      <c r="C53" s="2">
        <f>SUM(C10:C52)</f>
        <v>55000000</v>
      </c>
      <c r="D53" s="2">
        <f>SUM(D10:D52)</f>
        <v>15640608.5</v>
      </c>
      <c r="G53" s="2">
        <f>SUM(G10:G52)</f>
        <v>70640608.5</v>
      </c>
      <c r="I53" s="3"/>
      <c r="K53" s="29">
        <f>SUM(K11:K51)</f>
        <v>23132.009864773096</v>
      </c>
      <c r="L53" s="29">
        <f>SUM(L11:L51)</f>
        <v>38553.34977462182</v>
      </c>
      <c r="M53" s="28"/>
      <c r="N53" s="28"/>
    </row>
    <row r="54" spans="1:14" x14ac:dyDescent="0.35">
      <c r="I54" s="4"/>
    </row>
    <row r="55" spans="1:14" x14ac:dyDescent="0.35">
      <c r="D55" s="2">
        <f>+(D53/'40 mil 20yrs_VT Bond Bank'!D53)-('20 years'!B1/'40 mil 20yrs_VT Bond Bank'!B1)</f>
        <v>0</v>
      </c>
      <c r="I55" s="3"/>
      <c r="K55" s="28"/>
      <c r="L55" s="28"/>
      <c r="M55" s="28"/>
      <c r="N55" s="28"/>
    </row>
    <row r="56" spans="1:14" x14ac:dyDescent="0.35">
      <c r="I56" s="4"/>
    </row>
    <row r="57" spans="1:14" x14ac:dyDescent="0.35">
      <c r="I57" s="3"/>
      <c r="K57" s="28"/>
      <c r="L57" s="28"/>
      <c r="M57" s="28"/>
      <c r="N57" s="28"/>
    </row>
    <row r="58" spans="1:14" x14ac:dyDescent="0.35">
      <c r="I58" s="4"/>
    </row>
    <row r="59" spans="1:14" x14ac:dyDescent="0.35">
      <c r="I59" s="3"/>
      <c r="K59" s="28"/>
      <c r="L59" s="28"/>
      <c r="M59" s="28"/>
      <c r="N59" s="28"/>
    </row>
    <row r="60" spans="1:14" x14ac:dyDescent="0.35">
      <c r="I60" s="4"/>
    </row>
    <row r="61" spans="1:14" x14ac:dyDescent="0.35">
      <c r="I61" s="3"/>
      <c r="K61" s="28"/>
      <c r="L61" s="28"/>
      <c r="M61" s="28"/>
      <c r="N61" s="28"/>
    </row>
    <row r="62" spans="1:14" x14ac:dyDescent="0.35">
      <c r="I62" s="4"/>
    </row>
    <row r="63" spans="1:14" x14ac:dyDescent="0.35">
      <c r="I63" s="3"/>
      <c r="M63" s="28"/>
      <c r="N63" s="28"/>
    </row>
    <row r="64" spans="1:14" x14ac:dyDescent="0.35">
      <c r="I64" s="4"/>
    </row>
    <row r="65" spans="9:14" x14ac:dyDescent="0.35">
      <c r="I65" s="3"/>
      <c r="K65" s="28"/>
      <c r="L65" s="28"/>
      <c r="M65" s="28"/>
      <c r="N65" s="28"/>
    </row>
    <row r="66" spans="9:14" x14ac:dyDescent="0.35">
      <c r="I66" s="4"/>
    </row>
    <row r="67" spans="9:14" x14ac:dyDescent="0.35">
      <c r="I67" s="3"/>
      <c r="K67" s="28"/>
      <c r="L67" s="28"/>
      <c r="M67" s="28"/>
      <c r="N67" s="28"/>
    </row>
    <row r="68" spans="9:14" x14ac:dyDescent="0.35">
      <c r="I68" s="4"/>
    </row>
    <row r="69" spans="9:14" x14ac:dyDescent="0.35">
      <c r="I69" s="3"/>
      <c r="K69" s="28"/>
      <c r="L69" s="28"/>
      <c r="M69" s="28"/>
      <c r="N69" s="28"/>
    </row>
    <row r="70" spans="9:14" x14ac:dyDescent="0.35">
      <c r="I70" s="4"/>
    </row>
    <row r="71" spans="9:14" x14ac:dyDescent="0.35">
      <c r="I71" s="3"/>
      <c r="K71" s="28"/>
      <c r="L71" s="28"/>
      <c r="M71" s="28"/>
      <c r="N71" s="28"/>
    </row>
    <row r="72" spans="9:14" x14ac:dyDescent="0.35">
      <c r="I72" s="4"/>
    </row>
    <row r="73" spans="9:14" x14ac:dyDescent="0.35">
      <c r="I73" s="3"/>
      <c r="K73" s="29"/>
      <c r="L73" s="29"/>
      <c r="M73" s="29"/>
      <c r="N73" s="29"/>
    </row>
    <row r="74" spans="9:14" x14ac:dyDescent="0.35">
      <c r="I74" s="4"/>
    </row>
    <row r="75" spans="9:14" x14ac:dyDescent="0.35">
      <c r="I75" s="3"/>
    </row>
  </sheetData>
  <mergeCells count="3">
    <mergeCell ref="G7:G8"/>
    <mergeCell ref="I7:I8"/>
    <mergeCell ref="J7:J8"/>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G56"/>
  <sheetViews>
    <sheetView topLeftCell="A27" workbookViewId="0">
      <selection activeCell="D39" sqref="D39"/>
    </sheetView>
  </sheetViews>
  <sheetFormatPr defaultRowHeight="14.5" x14ac:dyDescent="0.35"/>
  <cols>
    <col min="2" max="2" width="21.81640625" bestFit="1" customWidth="1"/>
    <col min="3" max="3" width="17.26953125" customWidth="1"/>
    <col min="4" max="4" width="15" bestFit="1" customWidth="1"/>
    <col min="5" max="6" width="12" bestFit="1" customWidth="1"/>
  </cols>
  <sheetData>
    <row r="4" spans="2:7" x14ac:dyDescent="0.35">
      <c r="B4" t="s">
        <v>20</v>
      </c>
      <c r="C4" s="2">
        <v>58000000</v>
      </c>
    </row>
    <row r="5" spans="2:7" x14ac:dyDescent="0.35">
      <c r="D5" t="s">
        <v>27</v>
      </c>
      <c r="G5" s="386"/>
    </row>
    <row r="6" spans="2:7" x14ac:dyDescent="0.35">
      <c r="D6" t="s">
        <v>24</v>
      </c>
      <c r="E6" t="s">
        <v>25</v>
      </c>
      <c r="F6" t="s">
        <v>26</v>
      </c>
      <c r="G6" s="386"/>
    </row>
    <row r="8" spans="2:7" x14ac:dyDescent="0.35">
      <c r="C8" t="s">
        <v>36</v>
      </c>
      <c r="D8" s="3">
        <v>8.8723309217587407E-2</v>
      </c>
      <c r="E8" s="3">
        <v>8.1749004100065928E-2</v>
      </c>
      <c r="F8" s="3">
        <v>7.2821341006147081E-2</v>
      </c>
    </row>
    <row r="9" spans="2:7" x14ac:dyDescent="0.35">
      <c r="C9" t="s">
        <v>35</v>
      </c>
      <c r="D9" s="2">
        <v>19389.420708085829</v>
      </c>
      <c r="E9" s="2">
        <v>19272.690636334035</v>
      </c>
      <c r="F9" s="2">
        <v>19123.26689648203</v>
      </c>
    </row>
    <row r="10" spans="2:7" x14ac:dyDescent="0.35">
      <c r="D10" s="3"/>
      <c r="E10" s="3"/>
      <c r="F10" s="3"/>
    </row>
    <row r="11" spans="2:7" x14ac:dyDescent="0.35">
      <c r="C11" t="s">
        <v>37</v>
      </c>
      <c r="D11" s="23">
        <v>0.23494376235244877</v>
      </c>
      <c r="E11" s="23">
        <v>0.25236840293865115</v>
      </c>
      <c r="F11" s="23">
        <v>0.28033955528433785</v>
      </c>
    </row>
    <row r="12" spans="2:7" x14ac:dyDescent="0.35">
      <c r="C12" t="s">
        <v>35</v>
      </c>
      <c r="D12" s="8">
        <v>21836.736060425716</v>
      </c>
      <c r="E12" s="8">
        <v>22128.375085619322</v>
      </c>
      <c r="F12" s="8">
        <v>22596.532782375332</v>
      </c>
    </row>
    <row r="13" spans="2:7" x14ac:dyDescent="0.35">
      <c r="D13" s="3"/>
      <c r="E13" s="3"/>
      <c r="F13" s="3"/>
    </row>
    <row r="14" spans="2:7" x14ac:dyDescent="0.35">
      <c r="C14" t="s">
        <v>38</v>
      </c>
      <c r="D14" s="3">
        <v>0.23317328848937946</v>
      </c>
      <c r="E14" s="3">
        <v>0.25024383430296798</v>
      </c>
      <c r="F14" s="3">
        <v>0.27768384448973388</v>
      </c>
    </row>
    <row r="15" spans="2:7" x14ac:dyDescent="0.35">
      <c r="C15" t="s">
        <v>35</v>
      </c>
      <c r="D15" s="2">
        <v>21807.103353283099</v>
      </c>
      <c r="E15" s="2">
        <v>22092.81583704818</v>
      </c>
      <c r="F15" s="2">
        <v>22552.083721661405</v>
      </c>
    </row>
    <row r="16" spans="2:7" x14ac:dyDescent="0.35">
      <c r="D16" s="2"/>
      <c r="E16" s="2"/>
      <c r="F16" s="2"/>
    </row>
    <row r="17" spans="2:6" x14ac:dyDescent="0.35">
      <c r="B17" t="s">
        <v>20</v>
      </c>
      <c r="C17" s="2">
        <v>48000000</v>
      </c>
      <c r="D17" s="2"/>
      <c r="E17" s="2"/>
      <c r="F17" s="2"/>
    </row>
    <row r="18" spans="2:6" x14ac:dyDescent="0.35">
      <c r="D18" s="2" t="s">
        <v>27</v>
      </c>
      <c r="E18" s="2"/>
      <c r="F18" s="2"/>
    </row>
    <row r="19" spans="2:6" x14ac:dyDescent="0.35">
      <c r="D19" s="2" t="s">
        <v>24</v>
      </c>
      <c r="E19" s="2" t="s">
        <v>25</v>
      </c>
      <c r="F19" s="2" t="s">
        <v>26</v>
      </c>
    </row>
    <row r="20" spans="2:6" x14ac:dyDescent="0.35">
      <c r="D20" s="2">
        <v>17904.444344633212</v>
      </c>
      <c r="E20" s="2"/>
      <c r="F20" s="2"/>
    </row>
    <row r="21" spans="2:6" x14ac:dyDescent="0.35">
      <c r="D21" s="2"/>
      <c r="E21" s="2"/>
      <c r="F21" s="2"/>
    </row>
    <row r="22" spans="2:6" x14ac:dyDescent="0.35">
      <c r="C22" t="s">
        <v>36</v>
      </c>
      <c r="D22" s="3">
        <v>7.342618693869303E-2</v>
      </c>
      <c r="E22" s="3">
        <v>6.7654348220744204E-2</v>
      </c>
      <c r="F22" s="3">
        <v>6.0265937384397589E-2</v>
      </c>
    </row>
    <row r="23" spans="2:6" x14ac:dyDescent="0.35">
      <c r="C23" t="s">
        <v>35</v>
      </c>
      <c r="D23" s="2">
        <v>19133.390300593997</v>
      </c>
      <c r="E23" s="2">
        <v>19036.786103282167</v>
      </c>
      <c r="F23" s="2">
        <v>18913.12507719775</v>
      </c>
    </row>
    <row r="24" spans="2:6" x14ac:dyDescent="0.35">
      <c r="D24" s="3"/>
      <c r="E24" s="3"/>
      <c r="F24" s="3"/>
    </row>
    <row r="25" spans="2:6" x14ac:dyDescent="0.35">
      <c r="C25" t="s">
        <v>37</v>
      </c>
      <c r="D25" s="23">
        <v>0.19443621711926795</v>
      </c>
      <c r="E25" s="23">
        <v>0.20885660932853889</v>
      </c>
      <c r="F25" s="23">
        <v>0.23200514920083132</v>
      </c>
    </row>
    <row r="26" spans="2:6" x14ac:dyDescent="0.35">
      <c r="C26" t="s">
        <v>35</v>
      </c>
      <c r="D26" s="8">
        <v>21158.754730116663</v>
      </c>
      <c r="E26" s="8">
        <v>21400.111164759648</v>
      </c>
      <c r="F26" s="8">
        <v>21787.552017247377</v>
      </c>
    </row>
    <row r="27" spans="2:6" x14ac:dyDescent="0.35">
      <c r="D27" s="3"/>
      <c r="E27" s="3"/>
      <c r="F27" s="3"/>
    </row>
    <row r="28" spans="2:6" x14ac:dyDescent="0.35">
      <c r="C28" t="s">
        <v>38</v>
      </c>
      <c r="D28" s="3">
        <v>0.19297099737052095</v>
      </c>
      <c r="E28" s="3">
        <v>0.20709834563004248</v>
      </c>
      <c r="F28" s="3">
        <v>0.22980731957771081</v>
      </c>
    </row>
    <row r="29" spans="2:6" x14ac:dyDescent="0.35">
      <c r="C29" t="s">
        <v>35</v>
      </c>
      <c r="D29" s="2">
        <v>21134.231110412431</v>
      </c>
      <c r="E29" s="2">
        <v>21370.682821114566</v>
      </c>
      <c r="F29" s="2">
        <v>21750.766587691029</v>
      </c>
    </row>
    <row r="31" spans="2:6" x14ac:dyDescent="0.35">
      <c r="B31" t="s">
        <v>20</v>
      </c>
      <c r="C31" s="2">
        <v>38000000</v>
      </c>
    </row>
    <row r="32" spans="2:6" x14ac:dyDescent="0.35">
      <c r="D32" t="s">
        <v>27</v>
      </c>
    </row>
    <row r="33" spans="2:6" x14ac:dyDescent="0.35">
      <c r="D33" t="s">
        <v>24</v>
      </c>
      <c r="E33" t="s">
        <v>25</v>
      </c>
      <c r="F33" t="s">
        <v>26</v>
      </c>
    </row>
    <row r="35" spans="2:6" x14ac:dyDescent="0.35">
      <c r="C35" t="s">
        <v>36</v>
      </c>
      <c r="D35" s="19">
        <v>5.8129064659798647E-2</v>
      </c>
      <c r="E35" s="19">
        <v>5.35596923414225E-2</v>
      </c>
      <c r="F35" s="19">
        <v>4.771053376264809E-2</v>
      </c>
    </row>
    <row r="36" spans="2:6" x14ac:dyDescent="0.35">
      <c r="C36" t="s">
        <v>35</v>
      </c>
      <c r="D36" s="2">
        <v>18877.359893102166</v>
      </c>
      <c r="E36" s="2">
        <v>18800.8815702303</v>
      </c>
      <c r="F36" s="2">
        <v>18702.983257913471</v>
      </c>
    </row>
    <row r="37" spans="2:6" x14ac:dyDescent="0.35">
      <c r="D37" s="2"/>
      <c r="E37" s="2"/>
      <c r="F37" s="2"/>
    </row>
    <row r="38" spans="2:6" x14ac:dyDescent="0.35">
      <c r="C38" t="s">
        <v>37</v>
      </c>
      <c r="D38" s="24">
        <v>0.15392867188608714</v>
      </c>
      <c r="E38" s="24">
        <v>0.16534481571842663</v>
      </c>
      <c r="F38" s="24">
        <v>0.18367074311732481</v>
      </c>
    </row>
    <row r="39" spans="2:6" x14ac:dyDescent="0.35">
      <c r="C39" t="s">
        <v>35</v>
      </c>
      <c r="D39" s="8">
        <v>20480.773399807615</v>
      </c>
      <c r="E39" s="8">
        <v>20671.847243899974</v>
      </c>
      <c r="F39" s="8">
        <v>20978.571252119425</v>
      </c>
    </row>
    <row r="40" spans="2:6" x14ac:dyDescent="0.35">
      <c r="D40" s="2"/>
      <c r="E40" s="2"/>
      <c r="F40" s="2"/>
    </row>
    <row r="41" spans="2:6" x14ac:dyDescent="0.35">
      <c r="C41" t="s">
        <v>38</v>
      </c>
      <c r="D41" s="19">
        <v>0.15276870625166242</v>
      </c>
      <c r="E41" s="19">
        <v>0.16395285695711695</v>
      </c>
      <c r="F41" s="19">
        <v>0.18193079466568771</v>
      </c>
    </row>
    <row r="42" spans="2:6" x14ac:dyDescent="0.35">
      <c r="C42" t="s">
        <v>35</v>
      </c>
      <c r="D42" s="2">
        <v>20461.35886754176</v>
      </c>
      <c r="E42" s="2">
        <v>20648.549805180952</v>
      </c>
      <c r="F42" s="2">
        <v>20949.449453720648</v>
      </c>
    </row>
    <row r="45" spans="2:6" x14ac:dyDescent="0.35">
      <c r="B45" t="s">
        <v>20</v>
      </c>
      <c r="C45" s="2">
        <v>28000000</v>
      </c>
    </row>
    <row r="46" spans="2:6" x14ac:dyDescent="0.35">
      <c r="D46" t="s">
        <v>27</v>
      </c>
    </row>
    <row r="47" spans="2:6" x14ac:dyDescent="0.35">
      <c r="D47" t="s">
        <v>24</v>
      </c>
      <c r="E47" t="s">
        <v>25</v>
      </c>
      <c r="F47" t="s">
        <v>26</v>
      </c>
    </row>
    <row r="49" spans="3:6" x14ac:dyDescent="0.35">
      <c r="C49" t="s">
        <v>36</v>
      </c>
      <c r="D49" s="3">
        <v>4.2831942380904264E-2</v>
      </c>
      <c r="E49" s="3">
        <v>3.946503646210079E-2</v>
      </c>
      <c r="F49" s="3">
        <v>3.5155130140898584E-2</v>
      </c>
    </row>
    <row r="50" spans="3:6" x14ac:dyDescent="0.35">
      <c r="C50" t="s">
        <v>35</v>
      </c>
      <c r="D50" s="2">
        <v>18621.329485610338</v>
      </c>
      <c r="E50" s="2">
        <v>18564.977037178436</v>
      </c>
      <c r="F50" s="2">
        <v>18492.841438629192</v>
      </c>
    </row>
    <row r="51" spans="3:6" x14ac:dyDescent="0.35">
      <c r="D51" s="25"/>
    </row>
    <row r="52" spans="3:6" x14ac:dyDescent="0.35">
      <c r="C52" t="s">
        <v>37</v>
      </c>
      <c r="D52" s="23">
        <v>0.1134211266529063</v>
      </c>
      <c r="E52" s="23">
        <v>0.12183302210831436</v>
      </c>
      <c r="F52" s="23">
        <v>0.13533633703381825</v>
      </c>
    </row>
    <row r="53" spans="3:6" x14ac:dyDescent="0.35">
      <c r="C53" t="s">
        <v>35</v>
      </c>
      <c r="D53" s="8">
        <v>19802.792069498559</v>
      </c>
      <c r="E53" s="8">
        <v>19943.5833230403</v>
      </c>
      <c r="F53" s="8">
        <v>20169.590486991474</v>
      </c>
    </row>
    <row r="55" spans="3:6" x14ac:dyDescent="0.35">
      <c r="C55" t="s">
        <v>38</v>
      </c>
      <c r="D55" s="3">
        <v>0.11256641513280401</v>
      </c>
      <c r="E55" s="3">
        <v>0.12080736828419145</v>
      </c>
      <c r="F55" s="3">
        <v>0.13405426975366463</v>
      </c>
    </row>
    <row r="56" spans="3:6" x14ac:dyDescent="0.35">
      <c r="C56" t="s">
        <v>35</v>
      </c>
      <c r="D56" s="2">
        <v>19788.486624671088</v>
      </c>
      <c r="E56" s="2">
        <v>19926.416789247334</v>
      </c>
      <c r="F56" s="2">
        <v>20148.132319750272</v>
      </c>
    </row>
  </sheetData>
  <mergeCells count="1">
    <mergeCell ref="G5:G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opLeftCell="A4" workbookViewId="0">
      <selection activeCell="B19" sqref="B19"/>
    </sheetView>
  </sheetViews>
  <sheetFormatPr defaultRowHeight="14.5" x14ac:dyDescent="0.35"/>
  <cols>
    <col min="1" max="1" width="65.26953125" customWidth="1"/>
    <col min="2" max="2" width="15.26953125" bestFit="1" customWidth="1"/>
    <col min="3" max="7" width="13.1796875" customWidth="1"/>
  </cols>
  <sheetData>
    <row r="1" spans="1:8" x14ac:dyDescent="0.35">
      <c r="A1" t="s">
        <v>28</v>
      </c>
    </row>
    <row r="2" spans="1:8" x14ac:dyDescent="0.35">
      <c r="A2" t="s">
        <v>45</v>
      </c>
    </row>
    <row r="3" spans="1:8" x14ac:dyDescent="0.35">
      <c r="A3" s="20">
        <v>43733</v>
      </c>
    </row>
    <row r="5" spans="1:8" x14ac:dyDescent="0.35">
      <c r="A5" t="s">
        <v>41</v>
      </c>
      <c r="B5" s="8">
        <v>68000000</v>
      </c>
      <c r="C5" t="s">
        <v>42</v>
      </c>
    </row>
    <row r="7" spans="1:8" x14ac:dyDescent="0.35">
      <c r="A7" t="s">
        <v>43</v>
      </c>
      <c r="B7" s="8">
        <v>3000000</v>
      </c>
      <c r="C7" t="s">
        <v>42</v>
      </c>
    </row>
    <row r="9" spans="1:8" x14ac:dyDescent="0.35">
      <c r="A9" t="s">
        <v>44</v>
      </c>
      <c r="B9" s="8">
        <v>10000000</v>
      </c>
      <c r="C9" t="s">
        <v>42</v>
      </c>
    </row>
    <row r="11" spans="1:8" x14ac:dyDescent="0.35">
      <c r="A11" s="27" t="s">
        <v>40</v>
      </c>
      <c r="B11" s="26">
        <f>B5-B7-B9</f>
        <v>55000000</v>
      </c>
    </row>
    <row r="13" spans="1:8" x14ac:dyDescent="0.35">
      <c r="C13" s="18"/>
      <c r="D13" s="18"/>
      <c r="E13" s="18"/>
      <c r="F13" s="18"/>
      <c r="G13" s="18"/>
    </row>
    <row r="14" spans="1:8" x14ac:dyDescent="0.35">
      <c r="A14" s="30" t="s">
        <v>47</v>
      </c>
      <c r="B14" s="22">
        <f>+' Cost per Eq Pupil'!D15</f>
        <v>17904.444344633212</v>
      </c>
      <c r="H14" s="18"/>
    </row>
    <row r="15" spans="1:8" x14ac:dyDescent="0.35">
      <c r="G15" s="18"/>
    </row>
    <row r="16" spans="1:8" x14ac:dyDescent="0.35">
      <c r="A16" s="31" t="s">
        <v>49</v>
      </c>
      <c r="B16" s="31" t="s">
        <v>21</v>
      </c>
      <c r="C16" s="31" t="s">
        <v>22</v>
      </c>
      <c r="D16" s="31" t="s">
        <v>23</v>
      </c>
      <c r="E16" s="31"/>
      <c r="F16" s="31"/>
      <c r="G16" s="31"/>
    </row>
    <row r="17" spans="1:7" x14ac:dyDescent="0.35">
      <c r="A17" s="30" t="s">
        <v>5</v>
      </c>
      <c r="B17" s="19">
        <f>+'30 years'!I11</f>
        <v>8.4134172533919097E-2</v>
      </c>
      <c r="C17" s="19">
        <f>+'30 years'!I13</f>
        <v>0.22279149878249449</v>
      </c>
      <c r="D17" s="19">
        <f>+'30 years'!I15</f>
        <v>0.22111260115372189</v>
      </c>
      <c r="E17" s="19"/>
      <c r="F17" s="19"/>
    </row>
    <row r="18" spans="1:7" x14ac:dyDescent="0.35">
      <c r="A18" s="30" t="s">
        <v>46</v>
      </c>
      <c r="B18" s="34">
        <f>+'30 years'!M11</f>
        <v>19312.611585838284</v>
      </c>
      <c r="C18" s="34">
        <f>+'30 years'!M13</f>
        <v>21633.341661333001</v>
      </c>
      <c r="D18" s="34">
        <f>+'30 years'!M15</f>
        <v>21605.241680421899</v>
      </c>
      <c r="E18" s="2"/>
      <c r="F18" s="2"/>
    </row>
    <row r="19" spans="1:7" x14ac:dyDescent="0.35">
      <c r="A19" s="35" t="s">
        <v>52</v>
      </c>
      <c r="B19" s="36">
        <f>'30 years'!J11</f>
        <v>0.13688629871268643</v>
      </c>
      <c r="C19" s="36">
        <f>'30 years'!J13</f>
        <v>0.3624817685191184</v>
      </c>
      <c r="D19" s="36">
        <f>'30 years'!J15</f>
        <v>0.35975020207710551</v>
      </c>
      <c r="E19" s="3"/>
      <c r="F19" s="3"/>
    </row>
    <row r="20" spans="1:7" x14ac:dyDescent="0.35">
      <c r="A20" s="35" t="s">
        <v>48</v>
      </c>
      <c r="B20" s="37">
        <f>'30 years'!K11</f>
        <v>410.65889613805928</v>
      </c>
      <c r="C20" s="37">
        <f>'30 years'!K13</f>
        <v>1087.4453055573551</v>
      </c>
      <c r="D20" s="37">
        <f>'30 years'!K15</f>
        <v>1079.2506062313164</v>
      </c>
      <c r="E20" s="32"/>
      <c r="F20" s="32"/>
    </row>
    <row r="21" spans="1:7" x14ac:dyDescent="0.35">
      <c r="A21" s="35" t="s">
        <v>53</v>
      </c>
      <c r="B21" s="37">
        <f>'30 years'!L11</f>
        <v>684.43149356343213</v>
      </c>
      <c r="C21" s="37">
        <f>'30 years'!L13</f>
        <v>1812.4088425955918</v>
      </c>
      <c r="D21" s="37">
        <f>'30 years'!L15</f>
        <v>1798.7510103855277</v>
      </c>
      <c r="E21" s="32"/>
      <c r="F21" s="32"/>
    </row>
    <row r="22" spans="1:7" x14ac:dyDescent="0.35">
      <c r="A22" s="30" t="s">
        <v>58</v>
      </c>
      <c r="B22" s="38">
        <v>1.58</v>
      </c>
      <c r="C22" s="38">
        <v>1.58</v>
      </c>
      <c r="D22" s="38">
        <v>1.58</v>
      </c>
      <c r="E22" s="33" t="s">
        <v>62</v>
      </c>
      <c r="F22" s="33"/>
    </row>
    <row r="23" spans="1:7" x14ac:dyDescent="0.35">
      <c r="A23" s="30" t="s">
        <v>55</v>
      </c>
      <c r="B23" s="39">
        <v>2.75E-2</v>
      </c>
      <c r="C23" s="39">
        <v>2.75E-2</v>
      </c>
      <c r="D23" s="39">
        <v>2.75E-2</v>
      </c>
      <c r="E23" s="33" t="s">
        <v>62</v>
      </c>
      <c r="F23" s="33"/>
      <c r="G23" s="33"/>
    </row>
    <row r="24" spans="1:7" x14ac:dyDescent="0.35">
      <c r="A24" s="30" t="s">
        <v>57</v>
      </c>
      <c r="B24" s="34">
        <f>50000*$B23</f>
        <v>1375</v>
      </c>
      <c r="C24" s="34">
        <f>50000*$B23</f>
        <v>1375</v>
      </c>
      <c r="D24" s="34">
        <f>50000*$B23</f>
        <v>1375</v>
      </c>
      <c r="E24" s="33" t="s">
        <v>62</v>
      </c>
      <c r="F24" s="19"/>
    </row>
    <row r="25" spans="1:7" x14ac:dyDescent="0.35">
      <c r="A25" s="30" t="s">
        <v>59</v>
      </c>
      <c r="B25" s="34">
        <f>90000*$B23</f>
        <v>2475</v>
      </c>
      <c r="C25" s="34">
        <f>90000*$B23</f>
        <v>2475</v>
      </c>
      <c r="D25" s="34">
        <f>90000*$B23</f>
        <v>2475</v>
      </c>
      <c r="E25" s="33" t="s">
        <v>62</v>
      </c>
      <c r="F25" s="2"/>
    </row>
    <row r="26" spans="1:7" x14ac:dyDescent="0.35">
      <c r="A26" s="30" t="s">
        <v>56</v>
      </c>
      <c r="B26" s="39">
        <v>2.75E-2</v>
      </c>
      <c r="C26" s="39">
        <v>2.75E-2</v>
      </c>
      <c r="D26" s="39">
        <v>2.75E-2</v>
      </c>
      <c r="E26" s="33" t="s">
        <v>62</v>
      </c>
      <c r="F26" s="2"/>
      <c r="G26" s="2"/>
    </row>
    <row r="27" spans="1:7" x14ac:dyDescent="0.35">
      <c r="A27" s="30" t="s">
        <v>60</v>
      </c>
      <c r="B27" s="34">
        <f>100000*$B26</f>
        <v>2750</v>
      </c>
      <c r="C27" s="34">
        <f>100000*$B26</f>
        <v>2750</v>
      </c>
      <c r="D27" s="34">
        <f>100000*$B26</f>
        <v>2750</v>
      </c>
      <c r="E27" s="33" t="s">
        <v>62</v>
      </c>
      <c r="F27" s="2"/>
      <c r="G27" s="2"/>
    </row>
    <row r="28" spans="1:7" x14ac:dyDescent="0.35">
      <c r="A28" s="30" t="s">
        <v>61</v>
      </c>
      <c r="B28" s="34">
        <f>130000*$B26</f>
        <v>3575</v>
      </c>
      <c r="C28" s="34">
        <f>130000*$B26</f>
        <v>3575</v>
      </c>
      <c r="D28" s="34">
        <f>130000*$B26</f>
        <v>3575</v>
      </c>
      <c r="E28" s="33" t="s">
        <v>62</v>
      </c>
      <c r="F28" s="2"/>
      <c r="G28" s="2"/>
    </row>
    <row r="29" spans="1:7" x14ac:dyDescent="0.35">
      <c r="C29" s="2"/>
      <c r="D29" s="2"/>
      <c r="E29" s="2"/>
      <c r="F29" s="2"/>
      <c r="G29" s="2"/>
    </row>
    <row r="30" spans="1:7" x14ac:dyDescent="0.35">
      <c r="A30" s="31" t="s">
        <v>50</v>
      </c>
      <c r="B30" s="31" t="s">
        <v>21</v>
      </c>
      <c r="C30" s="31" t="s">
        <v>22</v>
      </c>
      <c r="D30" s="31" t="s">
        <v>23</v>
      </c>
      <c r="E30" s="2"/>
      <c r="F30" s="2"/>
      <c r="G30" s="2"/>
    </row>
    <row r="31" spans="1:7" x14ac:dyDescent="0.35">
      <c r="A31" s="30" t="s">
        <v>5</v>
      </c>
      <c r="B31" s="19">
        <f>+'25 years'!I11</f>
        <v>7.7520607336269406E-2</v>
      </c>
      <c r="C31" s="19">
        <f>+'25 years'!I13</f>
        <v>0.23931486485561748</v>
      </c>
      <c r="D31" s="19">
        <f>+'25 years'!I15</f>
        <v>0.23730018770109035</v>
      </c>
      <c r="E31" s="19"/>
      <c r="F31" s="19"/>
    </row>
    <row r="32" spans="1:7" x14ac:dyDescent="0.35">
      <c r="A32" s="30" t="s">
        <v>46</v>
      </c>
      <c r="B32" s="34">
        <f>+'25 years'!M11</f>
        <v>19201.919276418474</v>
      </c>
      <c r="C32" s="34">
        <f>+'25 years'!M13</f>
        <v>21909.895909361418</v>
      </c>
      <c r="D32" s="34">
        <f>+'25 years'!M15</f>
        <v>21876.175932268095</v>
      </c>
      <c r="E32" s="2"/>
      <c r="F32" s="2"/>
    </row>
    <row r="33" spans="1:5" x14ac:dyDescent="0.35">
      <c r="A33" s="35" t="s">
        <v>52</v>
      </c>
      <c r="B33" s="36">
        <f>'25 years'!J11</f>
        <v>0.12612602813611007</v>
      </c>
      <c r="C33" s="36">
        <f>'25 years'!J13</f>
        <v>0.38936528512008972</v>
      </c>
      <c r="D33" s="36">
        <f>'25 years'!J15</f>
        <v>0.3860874053896739</v>
      </c>
    </row>
    <row r="34" spans="1:5" x14ac:dyDescent="0.35">
      <c r="A34" s="35" t="s">
        <v>48</v>
      </c>
      <c r="B34" s="37">
        <f>'25 years'!K11</f>
        <v>378.37808440833015</v>
      </c>
      <c r="C34" s="37">
        <f>'25 years'!K13</f>
        <v>1168.0958553602693</v>
      </c>
      <c r="D34" s="37">
        <f>'25 years'!K15</f>
        <v>1158.2622161690217</v>
      </c>
    </row>
    <row r="35" spans="1:5" x14ac:dyDescent="0.35">
      <c r="A35" s="35" t="s">
        <v>53</v>
      </c>
      <c r="B35" s="37">
        <f>'25 years'!L11</f>
        <v>630.63014068055031</v>
      </c>
      <c r="C35" s="37">
        <f>'25 years'!L13</f>
        <v>1946.8264256004486</v>
      </c>
      <c r="D35" s="37">
        <f>'25 years'!L15</f>
        <v>1930.4370269483695</v>
      </c>
    </row>
    <row r="36" spans="1:5" x14ac:dyDescent="0.35">
      <c r="A36" s="30" t="s">
        <v>54</v>
      </c>
      <c r="B36" s="33">
        <v>1.58</v>
      </c>
      <c r="C36" s="33">
        <v>1.58</v>
      </c>
      <c r="D36" s="33">
        <v>1.58</v>
      </c>
    </row>
    <row r="37" spans="1:5" x14ac:dyDescent="0.35">
      <c r="A37" s="30" t="s">
        <v>63</v>
      </c>
      <c r="B37" s="38">
        <v>1.58</v>
      </c>
      <c r="C37" s="38">
        <v>1.58</v>
      </c>
      <c r="D37" s="38">
        <v>1.58</v>
      </c>
      <c r="E37" s="33" t="s">
        <v>62</v>
      </c>
    </row>
    <row r="38" spans="1:5" x14ac:dyDescent="0.35">
      <c r="A38" s="30" t="s">
        <v>55</v>
      </c>
      <c r="B38" s="39">
        <v>2.75E-2</v>
      </c>
      <c r="C38" s="39">
        <v>2.75E-2</v>
      </c>
      <c r="D38" s="39">
        <v>2.75E-2</v>
      </c>
      <c r="E38" s="33" t="s">
        <v>62</v>
      </c>
    </row>
    <row r="39" spans="1:5" x14ac:dyDescent="0.35">
      <c r="A39" s="30" t="s">
        <v>57</v>
      </c>
      <c r="B39" s="34">
        <f>50000*$B38</f>
        <v>1375</v>
      </c>
      <c r="C39" s="34">
        <f>50000*$B38</f>
        <v>1375</v>
      </c>
      <c r="D39" s="34">
        <f>50000*$B38</f>
        <v>1375</v>
      </c>
      <c r="E39" s="33" t="s">
        <v>62</v>
      </c>
    </row>
    <row r="40" spans="1:5" x14ac:dyDescent="0.35">
      <c r="A40" s="30" t="s">
        <v>59</v>
      </c>
      <c r="B40" s="34">
        <f>90000*$B38</f>
        <v>2475</v>
      </c>
      <c r="C40" s="34">
        <f>90000*$B38</f>
        <v>2475</v>
      </c>
      <c r="D40" s="34">
        <f>90000*$B38</f>
        <v>2475</v>
      </c>
      <c r="E40" s="33" t="s">
        <v>62</v>
      </c>
    </row>
    <row r="41" spans="1:5" x14ac:dyDescent="0.35">
      <c r="A41" s="30" t="s">
        <v>56</v>
      </c>
      <c r="B41" s="39">
        <v>2.75E-2</v>
      </c>
      <c r="C41" s="39">
        <v>2.75E-2</v>
      </c>
      <c r="D41" s="39">
        <v>2.75E-2</v>
      </c>
      <c r="E41" s="33" t="s">
        <v>62</v>
      </c>
    </row>
    <row r="42" spans="1:5" x14ac:dyDescent="0.35">
      <c r="A42" s="30" t="s">
        <v>60</v>
      </c>
      <c r="B42" s="34">
        <f>100000*$B41</f>
        <v>2750</v>
      </c>
      <c r="C42" s="34">
        <f>100000*$B41</f>
        <v>2750</v>
      </c>
      <c r="D42" s="34">
        <f>100000*$B41</f>
        <v>2750</v>
      </c>
      <c r="E42" s="33" t="s">
        <v>62</v>
      </c>
    </row>
    <row r="43" spans="1:5" x14ac:dyDescent="0.35">
      <c r="A43" s="30" t="s">
        <v>61</v>
      </c>
      <c r="B43" s="34">
        <f>130000*$B41</f>
        <v>3575</v>
      </c>
      <c r="C43" s="34">
        <f>130000*$B41</f>
        <v>3575</v>
      </c>
      <c r="D43" s="34">
        <f>130000*$B41</f>
        <v>3575</v>
      </c>
      <c r="E43" s="33" t="s">
        <v>62</v>
      </c>
    </row>
    <row r="44" spans="1:5" x14ac:dyDescent="0.35">
      <c r="A44" s="30"/>
      <c r="B44" s="34"/>
      <c r="C44" s="34"/>
      <c r="D44" s="34"/>
      <c r="E44" s="33"/>
    </row>
    <row r="45" spans="1:5" x14ac:dyDescent="0.35">
      <c r="A45" s="31" t="s">
        <v>51</v>
      </c>
      <c r="B45" s="31" t="s">
        <v>21</v>
      </c>
      <c r="C45" s="31" t="s">
        <v>22</v>
      </c>
      <c r="D45" s="31" t="s">
        <v>23</v>
      </c>
    </row>
    <row r="46" spans="1:5" x14ac:dyDescent="0.35">
      <c r="A46" s="30" t="s">
        <v>5</v>
      </c>
      <c r="B46" s="19">
        <v>6.7447628256038297E-2</v>
      </c>
      <c r="C46" s="19">
        <v>0.25965242948059708</v>
      </c>
      <c r="D46" s="19">
        <v>0.25719269182738796</v>
      </c>
    </row>
    <row r="47" spans="1:5" x14ac:dyDescent="0.35">
      <c r="A47" s="30" t="s">
        <v>46</v>
      </c>
      <c r="B47" s="34">
        <v>19033.326197828355</v>
      </c>
      <c r="C47" s="34">
        <v>22250.289014900569</v>
      </c>
      <c r="D47" s="34">
        <v>22209.119988322083</v>
      </c>
    </row>
    <row r="48" spans="1:5" x14ac:dyDescent="0.35">
      <c r="A48" s="35" t="s">
        <v>52</v>
      </c>
      <c r="B48" s="36">
        <v>0.10973729117257447</v>
      </c>
      <c r="C48" s="36">
        <f>'20 years'!J13</f>
        <v>0.43252043283825814</v>
      </c>
      <c r="D48" s="36">
        <f>'20 years'!J15</f>
        <v>0.42842308317523847</v>
      </c>
    </row>
    <row r="49" spans="1:5" x14ac:dyDescent="0.35">
      <c r="A49" s="35" t="s">
        <v>48</v>
      </c>
      <c r="B49" s="37">
        <v>329.21187351772346</v>
      </c>
      <c r="C49" s="37">
        <f>'20 years'!K13</f>
        <v>1297.5612985147743</v>
      </c>
      <c r="D49" s="37">
        <f>'20 years'!K15</f>
        <v>1285.2692495257154</v>
      </c>
    </row>
    <row r="50" spans="1:5" x14ac:dyDescent="0.35">
      <c r="A50" s="35" t="s">
        <v>53</v>
      </c>
      <c r="B50" s="37">
        <f>'20 years'!L11</f>
        <v>561.76014654612754</v>
      </c>
      <c r="C50" s="37">
        <f>'20 years'!L13</f>
        <v>2162.6021641912907</v>
      </c>
      <c r="D50" s="37">
        <f>'20 years'!L15</f>
        <v>2142.1154158761924</v>
      </c>
    </row>
    <row r="51" spans="1:5" x14ac:dyDescent="0.35">
      <c r="A51" s="30" t="s">
        <v>58</v>
      </c>
      <c r="B51" s="38">
        <v>1.58</v>
      </c>
      <c r="C51" s="38">
        <v>1.58</v>
      </c>
      <c r="D51" s="38">
        <v>1.58</v>
      </c>
      <c r="E51" s="33" t="s">
        <v>62</v>
      </c>
    </row>
    <row r="52" spans="1:5" x14ac:dyDescent="0.35">
      <c r="A52" s="30" t="s">
        <v>55</v>
      </c>
      <c r="B52" s="39">
        <v>2.75E-2</v>
      </c>
      <c r="C52" s="39">
        <v>2.75E-2</v>
      </c>
      <c r="D52" s="39">
        <v>2.75E-2</v>
      </c>
      <c r="E52" s="33" t="s">
        <v>62</v>
      </c>
    </row>
    <row r="53" spans="1:5" x14ac:dyDescent="0.35">
      <c r="A53" s="30" t="s">
        <v>57</v>
      </c>
      <c r="B53" s="34">
        <f>50000*$B52</f>
        <v>1375</v>
      </c>
      <c r="C53" s="34">
        <f>50000*$B52</f>
        <v>1375</v>
      </c>
      <c r="D53" s="34">
        <f>50000*$B52</f>
        <v>1375</v>
      </c>
      <c r="E53" s="33" t="s">
        <v>62</v>
      </c>
    </row>
    <row r="54" spans="1:5" x14ac:dyDescent="0.35">
      <c r="A54" s="30" t="s">
        <v>59</v>
      </c>
      <c r="B54" s="34">
        <f>90000*$B52</f>
        <v>2475</v>
      </c>
      <c r="C54" s="34">
        <f>90000*$B52</f>
        <v>2475</v>
      </c>
      <c r="D54" s="34">
        <f>90000*$B52</f>
        <v>2475</v>
      </c>
      <c r="E54" s="33" t="s">
        <v>62</v>
      </c>
    </row>
    <row r="55" spans="1:5" x14ac:dyDescent="0.35">
      <c r="A55" s="30" t="s">
        <v>56</v>
      </c>
      <c r="B55" s="39">
        <v>2.75E-2</v>
      </c>
      <c r="C55" s="39">
        <v>2.75E-2</v>
      </c>
      <c r="D55" s="39">
        <v>2.75E-2</v>
      </c>
      <c r="E55" s="33" t="s">
        <v>62</v>
      </c>
    </row>
    <row r="56" spans="1:5" x14ac:dyDescent="0.35">
      <c r="A56" s="30" t="s">
        <v>60</v>
      </c>
      <c r="B56" s="34">
        <f>100000*$B55</f>
        <v>2750</v>
      </c>
      <c r="C56" s="34">
        <f>100000*$B55</f>
        <v>2750</v>
      </c>
      <c r="D56" s="34">
        <f>100000*$B55</f>
        <v>2750</v>
      </c>
      <c r="E56" s="33" t="s">
        <v>62</v>
      </c>
    </row>
    <row r="57" spans="1:5" x14ac:dyDescent="0.35">
      <c r="A57" s="30" t="s">
        <v>61</v>
      </c>
      <c r="B57" s="34">
        <f>130000*$B55</f>
        <v>3575</v>
      </c>
      <c r="C57" s="34">
        <f>130000*$B55</f>
        <v>3575</v>
      </c>
      <c r="D57" s="34">
        <f>130000*$B55</f>
        <v>3575</v>
      </c>
      <c r="E57" s="33" t="s">
        <v>62</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F17"/>
  <sheetViews>
    <sheetView workbookViewId="0">
      <selection activeCell="D16" sqref="D16"/>
    </sheetView>
  </sheetViews>
  <sheetFormatPr defaultRowHeight="14.5" x14ac:dyDescent="0.35"/>
  <cols>
    <col min="1" max="1" width="23.26953125" bestFit="1" customWidth="1"/>
    <col min="2" max="3" width="13.26953125" bestFit="1" customWidth="1"/>
    <col min="4" max="4" width="14.26953125" bestFit="1" customWidth="1"/>
  </cols>
  <sheetData>
    <row r="9" spans="1:4" x14ac:dyDescent="0.35">
      <c r="B9" s="18" t="s">
        <v>31</v>
      </c>
      <c r="C9" s="18" t="s">
        <v>32</v>
      </c>
      <c r="D9" s="18" t="s">
        <v>10</v>
      </c>
    </row>
    <row r="11" spans="1:4" x14ac:dyDescent="0.35">
      <c r="A11" t="s">
        <v>33</v>
      </c>
      <c r="B11" s="21">
        <v>451.35</v>
      </c>
      <c r="C11" s="21">
        <v>439.22</v>
      </c>
      <c r="D11" s="21">
        <f>+C11+B11</f>
        <v>890.57</v>
      </c>
    </row>
    <row r="12" spans="1:4" x14ac:dyDescent="0.35">
      <c r="B12" s="21"/>
      <c r="C12" s="21"/>
      <c r="D12" s="21"/>
    </row>
    <row r="13" spans="1:4" x14ac:dyDescent="0.35">
      <c r="A13" t="s">
        <v>30</v>
      </c>
      <c r="B13" s="2">
        <v>7261725</v>
      </c>
      <c r="C13" s="2">
        <v>8683436</v>
      </c>
      <c r="D13" s="2">
        <f>+C13+B13</f>
        <v>15945161</v>
      </c>
    </row>
    <row r="14" spans="1:4" x14ac:dyDescent="0.35">
      <c r="B14" s="21"/>
      <c r="C14" s="21"/>
      <c r="D14" s="21"/>
    </row>
    <row r="15" spans="1:4" x14ac:dyDescent="0.35">
      <c r="A15" t="s">
        <v>34</v>
      </c>
      <c r="B15" s="21">
        <f>+B13/B11</f>
        <v>16088.899966766367</v>
      </c>
      <c r="C15" s="21">
        <f>+C13/C11</f>
        <v>19770.128864805793</v>
      </c>
      <c r="D15" s="21">
        <f>+D13/D11</f>
        <v>17904.444344633212</v>
      </c>
    </row>
    <row r="16" spans="1:4" x14ac:dyDescent="0.35">
      <c r="B16" s="21"/>
      <c r="C16" s="21"/>
      <c r="D16" s="21"/>
    </row>
    <row r="17" spans="6:6" x14ac:dyDescent="0.35">
      <c r="F17">
        <f>385000*100/12.9</f>
        <v>2984496.1240310078</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4E13-B4BA-4A24-9DA0-E7E32B8833B6}">
  <dimension ref="A1"/>
  <sheetViews>
    <sheetView zoomScaleNormal="100" workbookViewId="0">
      <selection activeCell="V10" sqref="V10"/>
    </sheetView>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26"/>
  <sheetViews>
    <sheetView zoomScale="80" zoomScaleNormal="100" workbookViewId="0">
      <selection activeCell="E5" sqref="E5"/>
    </sheetView>
  </sheetViews>
  <sheetFormatPr defaultRowHeight="14.5" x14ac:dyDescent="0.35"/>
  <cols>
    <col min="3" max="3" width="13.6328125" bestFit="1" customWidth="1"/>
    <col min="4" max="4" width="26.453125" customWidth="1"/>
    <col min="5" max="5" width="19.36328125" customWidth="1"/>
    <col min="6" max="6" width="2.26953125" customWidth="1"/>
    <col min="7" max="7" width="14.7265625" customWidth="1"/>
    <col min="8" max="8" width="2.453125" customWidth="1"/>
    <col min="9" max="9" width="14.7265625" style="102" customWidth="1"/>
    <col min="10" max="10" width="14.453125" style="102" customWidth="1"/>
    <col min="11" max="11" width="14.54296875" style="102" customWidth="1"/>
    <col min="12" max="12" width="14.7265625" style="102" customWidth="1"/>
    <col min="13" max="13" width="15.08984375" style="102" customWidth="1"/>
    <col min="14" max="14" width="15" style="102" customWidth="1"/>
    <col min="15" max="15" width="14.6328125" style="102" bestFit="1" customWidth="1"/>
    <col min="16" max="16" width="14.36328125" style="102" customWidth="1"/>
    <col min="17" max="17" width="14.54296875" style="102" customWidth="1"/>
    <col min="18" max="18" width="14.453125" style="102" customWidth="1"/>
    <col min="19" max="21" width="14.6328125" style="102" bestFit="1" customWidth="1"/>
    <col min="22" max="22" width="14.90625" style="102" customWidth="1"/>
    <col min="23" max="28" width="14.6328125" style="102" bestFit="1" customWidth="1"/>
    <col min="29" max="29" width="14.7265625" style="102" customWidth="1"/>
    <col min="30" max="36" width="14.6328125" style="102" bestFit="1" customWidth="1"/>
    <col min="37" max="37" width="15.453125" style="102" customWidth="1"/>
    <col min="38" max="38" width="15.36328125" customWidth="1"/>
    <col min="39" max="42" width="15.6328125" bestFit="1" customWidth="1"/>
    <col min="43" max="43" width="15.81640625" customWidth="1"/>
  </cols>
  <sheetData>
    <row r="1" spans="1:43" ht="15" thickBot="1" x14ac:dyDescent="0.4"/>
    <row r="2" spans="1:43" ht="14.5" customHeight="1" x14ac:dyDescent="0.35">
      <c r="A2" s="27"/>
      <c r="B2" t="s">
        <v>98</v>
      </c>
      <c r="E2" s="154">
        <f>'Individual Taxpayer Impact'!$G$19</f>
        <v>99000000</v>
      </c>
      <c r="F2" s="47"/>
      <c r="J2" s="374" t="s">
        <v>211</v>
      </c>
      <c r="K2" s="375"/>
      <c r="P2" s="103"/>
      <c r="Q2" s="103"/>
      <c r="R2" s="103"/>
    </row>
    <row r="3" spans="1:43" ht="15" customHeight="1" thickBot="1" x14ac:dyDescent="0.4">
      <c r="A3" s="27"/>
      <c r="B3" t="s">
        <v>225</v>
      </c>
      <c r="E3" s="154">
        <f>'Individual Taxpayer Impact'!$G$22 + 3500000</f>
        <v>3500000</v>
      </c>
      <c r="F3" s="47"/>
      <c r="J3" s="376"/>
      <c r="K3" s="377"/>
      <c r="P3" s="103"/>
      <c r="Q3" s="103"/>
      <c r="R3" s="103"/>
    </row>
    <row r="4" spans="1:43" x14ac:dyDescent="0.35">
      <c r="A4" s="27"/>
      <c r="B4" t="s">
        <v>240</v>
      </c>
      <c r="E4" s="63">
        <v>1300000</v>
      </c>
      <c r="F4" s="47"/>
      <c r="J4" s="209"/>
      <c r="K4" s="209"/>
      <c r="P4" s="103"/>
      <c r="Q4" s="103"/>
      <c r="R4" s="103"/>
    </row>
    <row r="5" spans="1:43" x14ac:dyDescent="0.35">
      <c r="A5" s="27"/>
      <c r="B5" t="s">
        <v>242</v>
      </c>
      <c r="E5" s="154">
        <f>SUM(E3:E4)</f>
        <v>4800000</v>
      </c>
      <c r="F5" s="47"/>
      <c r="J5" s="209"/>
      <c r="K5" s="209"/>
      <c r="P5" s="103"/>
      <c r="Q5" s="103"/>
      <c r="R5" s="103"/>
    </row>
    <row r="6" spans="1:43" x14ac:dyDescent="0.35">
      <c r="A6" s="27"/>
      <c r="B6" t="s">
        <v>223</v>
      </c>
      <c r="E6" s="63">
        <v>0</v>
      </c>
      <c r="F6" s="47"/>
      <c r="J6" s="181"/>
      <c r="K6" s="181"/>
      <c r="P6" s="103"/>
      <c r="Q6" s="103"/>
      <c r="R6" s="103"/>
    </row>
    <row r="7" spans="1:43" x14ac:dyDescent="0.35">
      <c r="A7" s="27"/>
      <c r="B7" t="s">
        <v>224</v>
      </c>
      <c r="E7" s="182">
        <v>0</v>
      </c>
      <c r="F7" s="47"/>
      <c r="G7" s="27"/>
      <c r="J7" s="181"/>
      <c r="K7" s="181"/>
      <c r="P7" s="103"/>
      <c r="Q7" s="103"/>
      <c r="R7" s="103"/>
    </row>
    <row r="8" spans="1:43" x14ac:dyDescent="0.35">
      <c r="B8" t="s">
        <v>120</v>
      </c>
      <c r="E8" s="60">
        <f>E2 - (E2*E7)</f>
        <v>99000000</v>
      </c>
      <c r="G8" s="123">
        <f>E8</f>
        <v>99000000</v>
      </c>
      <c r="H8" s="44"/>
      <c r="I8" s="124">
        <f>E8</f>
        <v>99000000</v>
      </c>
      <c r="J8" s="124">
        <f>E8</f>
        <v>99000000</v>
      </c>
      <c r="K8" s="124">
        <f>E8</f>
        <v>99000000</v>
      </c>
      <c r="L8" s="124">
        <f>E8</f>
        <v>99000000</v>
      </c>
      <c r="M8" s="194"/>
      <c r="N8" s="124">
        <f>E8</f>
        <v>99000000</v>
      </c>
      <c r="O8" s="124">
        <f>E8</f>
        <v>99000000</v>
      </c>
      <c r="P8" s="123">
        <f>E8</f>
        <v>99000000</v>
      </c>
      <c r="Q8" s="123">
        <f>E8</f>
        <v>99000000</v>
      </c>
      <c r="R8" s="123">
        <f>E8</f>
        <v>99000000</v>
      </c>
      <c r="S8" s="123">
        <f>E8</f>
        <v>99000000</v>
      </c>
      <c r="T8" s="123">
        <f>E8</f>
        <v>99000000</v>
      </c>
      <c r="U8" s="123">
        <f>E8</f>
        <v>99000000</v>
      </c>
      <c r="V8" s="123">
        <f>E8</f>
        <v>99000000</v>
      </c>
      <c r="W8" s="123">
        <f>E8</f>
        <v>99000000</v>
      </c>
      <c r="X8" s="123">
        <f>E8</f>
        <v>99000000</v>
      </c>
      <c r="Y8" s="123">
        <f>E8</f>
        <v>99000000</v>
      </c>
      <c r="Z8" s="123">
        <f>E8</f>
        <v>99000000</v>
      </c>
      <c r="AA8" s="123">
        <f>E8</f>
        <v>99000000</v>
      </c>
      <c r="AB8" s="123">
        <f>E8</f>
        <v>99000000</v>
      </c>
      <c r="AC8" s="123">
        <f>E8</f>
        <v>99000000</v>
      </c>
      <c r="AD8" s="123">
        <f>E8</f>
        <v>99000000</v>
      </c>
      <c r="AE8" s="123">
        <f>E8</f>
        <v>99000000</v>
      </c>
      <c r="AF8" s="123">
        <f>E8</f>
        <v>99000000</v>
      </c>
      <c r="AG8" s="123">
        <f>E8</f>
        <v>99000000</v>
      </c>
      <c r="AH8" s="123">
        <f>E8</f>
        <v>99000000</v>
      </c>
      <c r="AI8" s="123">
        <f>E8</f>
        <v>99000000</v>
      </c>
      <c r="AJ8" s="123">
        <f>E8</f>
        <v>99000000</v>
      </c>
      <c r="AK8" s="123">
        <f>E8</f>
        <v>99000000</v>
      </c>
      <c r="AL8" s="123">
        <f t="shared" ref="AL8:AQ11" si="0">E8</f>
        <v>99000000</v>
      </c>
      <c r="AM8" s="123">
        <f t="shared" si="0"/>
        <v>0</v>
      </c>
      <c r="AN8" s="123">
        <f t="shared" si="0"/>
        <v>99000000</v>
      </c>
      <c r="AO8" s="123">
        <f t="shared" si="0"/>
        <v>0</v>
      </c>
      <c r="AP8" s="123">
        <f t="shared" si="0"/>
        <v>99000000</v>
      </c>
      <c r="AQ8" s="123">
        <f t="shared" si="0"/>
        <v>99000000</v>
      </c>
    </row>
    <row r="9" spans="1:43" s="27" customFormat="1" hidden="1" x14ac:dyDescent="0.35">
      <c r="B9" s="116" t="s">
        <v>227</v>
      </c>
      <c r="C9" s="116"/>
      <c r="D9" s="116"/>
      <c r="E9" s="185">
        <f>(E2-11000000)/160000</f>
        <v>550</v>
      </c>
      <c r="F9" s="114"/>
      <c r="G9" s="115"/>
      <c r="H9" s="115"/>
      <c r="I9" s="183"/>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row>
    <row r="10" spans="1:43" x14ac:dyDescent="0.35">
      <c r="B10" t="s">
        <v>72</v>
      </c>
      <c r="E10" s="225">
        <f>'Individual Taxpayer Impact'!$G$20</f>
        <v>3.5999999999999997E-2</v>
      </c>
      <c r="F10" s="19"/>
      <c r="G10" s="49">
        <f>E10</f>
        <v>3.5999999999999997E-2</v>
      </c>
      <c r="H10" s="49"/>
      <c r="I10" s="49">
        <f>E10</f>
        <v>3.5999999999999997E-2</v>
      </c>
      <c r="J10" s="49">
        <f>E10</f>
        <v>3.5999999999999997E-2</v>
      </c>
      <c r="K10" s="49">
        <f>E10</f>
        <v>3.5999999999999997E-2</v>
      </c>
      <c r="L10" s="49">
        <f>E10</f>
        <v>3.5999999999999997E-2</v>
      </c>
      <c r="M10" s="49">
        <f>E10</f>
        <v>3.5999999999999997E-2</v>
      </c>
      <c r="N10" s="49">
        <f>E10</f>
        <v>3.5999999999999997E-2</v>
      </c>
      <c r="O10" s="49">
        <f>E10</f>
        <v>3.5999999999999997E-2</v>
      </c>
      <c r="P10" s="68">
        <f>E10</f>
        <v>3.5999999999999997E-2</v>
      </c>
      <c r="Q10" s="68">
        <f>E10</f>
        <v>3.5999999999999997E-2</v>
      </c>
      <c r="R10" s="68">
        <f>E10</f>
        <v>3.5999999999999997E-2</v>
      </c>
      <c r="S10" s="68">
        <f>E10</f>
        <v>3.5999999999999997E-2</v>
      </c>
      <c r="T10" s="68">
        <f>E10</f>
        <v>3.5999999999999997E-2</v>
      </c>
      <c r="U10" s="68">
        <f>E10</f>
        <v>3.5999999999999997E-2</v>
      </c>
      <c r="V10" s="68">
        <f>E10</f>
        <v>3.5999999999999997E-2</v>
      </c>
      <c r="W10" s="68">
        <f>E10</f>
        <v>3.5999999999999997E-2</v>
      </c>
      <c r="X10" s="68">
        <f>E10</f>
        <v>3.5999999999999997E-2</v>
      </c>
      <c r="Y10" s="68">
        <f>E10</f>
        <v>3.5999999999999997E-2</v>
      </c>
      <c r="Z10" s="68">
        <f>E10</f>
        <v>3.5999999999999997E-2</v>
      </c>
      <c r="AA10" s="68">
        <f>E10</f>
        <v>3.5999999999999997E-2</v>
      </c>
      <c r="AB10" s="68">
        <f>E10</f>
        <v>3.5999999999999997E-2</v>
      </c>
      <c r="AC10" s="68">
        <f>E10</f>
        <v>3.5999999999999997E-2</v>
      </c>
      <c r="AD10" s="68">
        <f>E10</f>
        <v>3.5999999999999997E-2</v>
      </c>
      <c r="AE10" s="68">
        <f>E10</f>
        <v>3.5999999999999997E-2</v>
      </c>
      <c r="AF10" s="68">
        <f>E10</f>
        <v>3.5999999999999997E-2</v>
      </c>
      <c r="AG10" s="68">
        <f>E10</f>
        <v>3.5999999999999997E-2</v>
      </c>
      <c r="AH10" s="68">
        <f>E10</f>
        <v>3.5999999999999997E-2</v>
      </c>
      <c r="AI10" s="68">
        <f>E10</f>
        <v>3.5999999999999997E-2</v>
      </c>
      <c r="AJ10" s="68">
        <f>E10</f>
        <v>3.5999999999999997E-2</v>
      </c>
      <c r="AK10" s="68">
        <f>E10</f>
        <v>3.5999999999999997E-2</v>
      </c>
      <c r="AL10" s="68">
        <f t="shared" si="0"/>
        <v>3.5999999999999997E-2</v>
      </c>
      <c r="AM10" s="68">
        <f t="shared" si="0"/>
        <v>0</v>
      </c>
      <c r="AN10" s="68">
        <f t="shared" si="0"/>
        <v>3.5999999999999997E-2</v>
      </c>
      <c r="AO10" s="68">
        <f t="shared" si="0"/>
        <v>0</v>
      </c>
      <c r="AP10" s="68">
        <f t="shared" si="0"/>
        <v>3.5999999999999997E-2</v>
      </c>
      <c r="AQ10" s="68">
        <f t="shared" si="0"/>
        <v>3.5999999999999997E-2</v>
      </c>
    </row>
    <row r="11" spans="1:43" x14ac:dyDescent="0.35">
      <c r="B11" t="s">
        <v>119</v>
      </c>
      <c r="E11" s="226">
        <f>'Individual Taxpayer Impact'!$G$21-3</f>
        <v>37</v>
      </c>
      <c r="F11" s="68"/>
      <c r="G11" s="67">
        <f>E11</f>
        <v>37</v>
      </c>
      <c r="H11" s="67"/>
      <c r="I11" s="125">
        <f>E11</f>
        <v>37</v>
      </c>
      <c r="J11" s="100">
        <f>E11</f>
        <v>37</v>
      </c>
      <c r="K11" s="100">
        <f>E11</f>
        <v>37</v>
      </c>
      <c r="L11" s="100">
        <f>E11</f>
        <v>37</v>
      </c>
      <c r="M11" s="100">
        <f>E11</f>
        <v>37</v>
      </c>
      <c r="N11" s="69">
        <f>E11</f>
        <v>37</v>
      </c>
      <c r="O11" s="69">
        <f>E11</f>
        <v>37</v>
      </c>
      <c r="P11" s="125">
        <f>E11</f>
        <v>37</v>
      </c>
      <c r="Q11" s="125">
        <f>E11</f>
        <v>37</v>
      </c>
      <c r="R11" s="125">
        <f>E11</f>
        <v>37</v>
      </c>
      <c r="S11" s="126">
        <f>E11</f>
        <v>37</v>
      </c>
      <c r="T11" s="126">
        <f>E11</f>
        <v>37</v>
      </c>
      <c r="U11" s="126">
        <f>E11</f>
        <v>37</v>
      </c>
      <c r="V11" s="126">
        <f>E11</f>
        <v>37</v>
      </c>
      <c r="W11" s="126">
        <f>E11</f>
        <v>37</v>
      </c>
      <c r="X11" s="126">
        <f>E11</f>
        <v>37</v>
      </c>
      <c r="Y11" s="126">
        <f>E11</f>
        <v>37</v>
      </c>
      <c r="Z11" s="126">
        <f>E11</f>
        <v>37</v>
      </c>
      <c r="AA11" s="126">
        <f>E11</f>
        <v>37</v>
      </c>
      <c r="AB11" s="126">
        <f>E11</f>
        <v>37</v>
      </c>
      <c r="AC11" s="126">
        <f>E11</f>
        <v>37</v>
      </c>
      <c r="AD11" s="126">
        <f>E11</f>
        <v>37</v>
      </c>
      <c r="AE11" s="126">
        <f>E11</f>
        <v>37</v>
      </c>
      <c r="AF11" s="126">
        <f>E11</f>
        <v>37</v>
      </c>
      <c r="AG11" s="126">
        <f>E11</f>
        <v>37</v>
      </c>
      <c r="AH11" s="126">
        <f>E11</f>
        <v>37</v>
      </c>
      <c r="AI11" s="126">
        <f>E11</f>
        <v>37</v>
      </c>
      <c r="AJ11" s="126">
        <f>E11</f>
        <v>37</v>
      </c>
      <c r="AK11" s="126">
        <f>E11</f>
        <v>37</v>
      </c>
      <c r="AL11" s="126">
        <f t="shared" si="0"/>
        <v>37</v>
      </c>
      <c r="AM11" s="126">
        <f t="shared" si="0"/>
        <v>0</v>
      </c>
      <c r="AN11" s="126">
        <f t="shared" si="0"/>
        <v>37</v>
      </c>
      <c r="AO11" s="126">
        <f t="shared" si="0"/>
        <v>0</v>
      </c>
      <c r="AP11" s="126">
        <f t="shared" si="0"/>
        <v>37</v>
      </c>
      <c r="AQ11" s="126">
        <f t="shared" si="0"/>
        <v>37</v>
      </c>
    </row>
    <row r="12" spans="1:43" s="27" customFormat="1" x14ac:dyDescent="0.35">
      <c r="B12" s="116" t="s">
        <v>141</v>
      </c>
      <c r="C12" s="116"/>
      <c r="D12" s="116"/>
      <c r="E12" s="70">
        <v>0</v>
      </c>
      <c r="F12" s="114"/>
      <c r="G12" s="115">
        <f>E12</f>
        <v>0</v>
      </c>
      <c r="H12" s="115"/>
      <c r="I12" s="117">
        <v>2024</v>
      </c>
      <c r="J12" s="118">
        <v>2025</v>
      </c>
      <c r="K12" s="118">
        <v>2026</v>
      </c>
      <c r="L12" s="118">
        <v>2027</v>
      </c>
      <c r="M12" s="118">
        <v>2028</v>
      </c>
      <c r="N12" s="118">
        <v>2029</v>
      </c>
      <c r="O12" s="118">
        <v>2030</v>
      </c>
      <c r="P12" s="118">
        <v>2031</v>
      </c>
      <c r="Q12" s="118">
        <v>2032</v>
      </c>
      <c r="R12" s="118">
        <v>2033</v>
      </c>
      <c r="S12" s="118">
        <v>2034</v>
      </c>
      <c r="T12" s="118">
        <v>2035</v>
      </c>
      <c r="U12" s="118">
        <v>2036</v>
      </c>
      <c r="V12" s="118">
        <v>2037</v>
      </c>
      <c r="W12" s="118">
        <v>2038</v>
      </c>
      <c r="X12" s="118">
        <v>2039</v>
      </c>
      <c r="Y12" s="118">
        <v>2040</v>
      </c>
      <c r="Z12" s="118">
        <v>2041</v>
      </c>
      <c r="AA12" s="118">
        <v>2042</v>
      </c>
      <c r="AB12" s="118">
        <v>2043</v>
      </c>
      <c r="AC12" s="118">
        <v>2044</v>
      </c>
      <c r="AD12" s="118">
        <v>2045</v>
      </c>
      <c r="AE12" s="118">
        <v>2046</v>
      </c>
      <c r="AF12" s="118">
        <v>2047</v>
      </c>
      <c r="AG12" s="118">
        <v>2048</v>
      </c>
      <c r="AH12" s="118">
        <v>2049</v>
      </c>
      <c r="AI12" s="118">
        <v>2050</v>
      </c>
      <c r="AJ12" s="118">
        <v>2051</v>
      </c>
      <c r="AK12" s="118">
        <v>2052</v>
      </c>
      <c r="AL12" s="118">
        <v>2053</v>
      </c>
      <c r="AM12" s="118">
        <v>2054</v>
      </c>
      <c r="AN12" s="118">
        <v>2055</v>
      </c>
      <c r="AO12" s="118">
        <v>2056</v>
      </c>
      <c r="AP12" s="118">
        <v>2057</v>
      </c>
      <c r="AQ12" s="118">
        <v>2058</v>
      </c>
    </row>
    <row r="13" spans="1:43" s="116" customFormat="1" x14ac:dyDescent="0.35">
      <c r="B13" t="s">
        <v>142</v>
      </c>
      <c r="E13" s="128"/>
      <c r="F13" s="68"/>
      <c r="G13" s="67"/>
      <c r="H13" s="67"/>
      <c r="I13" s="176">
        <v>0</v>
      </c>
      <c r="J13" s="176">
        <v>0</v>
      </c>
      <c r="K13" s="176">
        <v>0</v>
      </c>
      <c r="L13" s="207">
        <v>0</v>
      </c>
      <c r="M13" s="201">
        <f>Amortization!E8</f>
        <v>6239675.6756756753</v>
      </c>
      <c r="N13" s="201">
        <f>Amortization!E10</f>
        <v>6143351.3513513505</v>
      </c>
      <c r="O13" s="201">
        <f>Amortization!E12</f>
        <v>6047027.0270270268</v>
      </c>
      <c r="P13" s="201">
        <f>Amortization!E14</f>
        <v>5950702.702702703</v>
      </c>
      <c r="Q13" s="201">
        <f>Amortization!E16</f>
        <v>5854378.3783783782</v>
      </c>
      <c r="R13" s="201">
        <f>Amortization!E18</f>
        <v>5758054.0540540535</v>
      </c>
      <c r="S13" s="201">
        <f>Amortization!E20</f>
        <v>5661729.7297297297</v>
      </c>
      <c r="T13" s="201">
        <f>Amortization!E22</f>
        <v>5565405.4054054059</v>
      </c>
      <c r="U13" s="201">
        <f>Amortization!E24</f>
        <v>5469081.0810810812</v>
      </c>
      <c r="V13" s="201">
        <f>Amortization!E26</f>
        <v>5372756.7567567565</v>
      </c>
      <c r="W13" s="201">
        <f>Amortization!E28</f>
        <v>5276432.4324324327</v>
      </c>
      <c r="X13" s="201">
        <f>Amortization!E30</f>
        <v>5180108.1081081079</v>
      </c>
      <c r="Y13" s="201">
        <f>Amortization!E32</f>
        <v>5083783.7837837841</v>
      </c>
      <c r="Z13" s="201">
        <f>Amortization!E34</f>
        <v>4987459.4594594594</v>
      </c>
      <c r="AA13" s="201">
        <f>Amortization!E36</f>
        <v>4891135.1351351347</v>
      </c>
      <c r="AB13" s="201">
        <f>Amortization!E38</f>
        <v>4794810.8108108109</v>
      </c>
      <c r="AC13" s="201">
        <f>Amortization!E40</f>
        <v>4698486.4864864871</v>
      </c>
      <c r="AD13" s="201">
        <f>Amortization!E42</f>
        <v>4602162.1621621624</v>
      </c>
      <c r="AE13" s="201">
        <f>Amortization!E44</f>
        <v>4505837.8378378376</v>
      </c>
      <c r="AF13" s="201">
        <f>Amortization!E46</f>
        <v>4409513.5135135138</v>
      </c>
      <c r="AG13" s="201">
        <f>Amortization!E48</f>
        <v>4313189.1891891891</v>
      </c>
      <c r="AH13" s="201">
        <f>Amortization!E50</f>
        <v>4216864.8648648653</v>
      </c>
      <c r="AI13" s="201">
        <f>Amortization!E52</f>
        <v>4120540.5405405406</v>
      </c>
      <c r="AJ13" s="201">
        <f>Amortization!E54</f>
        <v>4024216.2162162168</v>
      </c>
      <c r="AK13" s="201">
        <f>Amortization!E56</f>
        <v>3927891.8918918921</v>
      </c>
      <c r="AL13" s="201">
        <f>Amortization!E58</f>
        <v>3831567.5675675678</v>
      </c>
      <c r="AM13" s="201">
        <f>Amortization!E60</f>
        <v>3735243.2432432435</v>
      </c>
      <c r="AN13" s="201">
        <f>Amortization!E62</f>
        <v>3638918.9189189193</v>
      </c>
      <c r="AO13" s="201">
        <f>Amortization!E64</f>
        <v>3542594.594594595</v>
      </c>
      <c r="AP13" s="201">
        <f>Amortization!E66</f>
        <v>3446270.2702702708</v>
      </c>
      <c r="AQ13" s="201">
        <f>Amortization!E68</f>
        <v>3349945.9459459465</v>
      </c>
    </row>
    <row r="14" spans="1:43" s="200" customFormat="1" x14ac:dyDescent="0.35">
      <c r="B14" s="200" t="s">
        <v>234</v>
      </c>
      <c r="E14" s="202"/>
      <c r="F14" s="197"/>
      <c r="G14" s="196"/>
      <c r="H14" s="196"/>
      <c r="I14" s="207">
        <v>0</v>
      </c>
      <c r="J14" s="207">
        <v>0</v>
      </c>
      <c r="K14" s="207">
        <v>0</v>
      </c>
      <c r="L14" s="207">
        <v>0</v>
      </c>
      <c r="M14" s="203">
        <f>Amortization!F8</f>
        <v>1488000</v>
      </c>
      <c r="N14" s="203">
        <f>Amortization!F10</f>
        <v>1224000</v>
      </c>
      <c r="O14" s="203">
        <f>Amortization!F12</f>
        <v>960000</v>
      </c>
      <c r="P14" s="203">
        <f>Amortization!F14</f>
        <v>696000</v>
      </c>
      <c r="Q14" s="203">
        <f>Amortization!F16</f>
        <v>432000</v>
      </c>
      <c r="R14" s="203">
        <f>Amortization!F18</f>
        <v>0</v>
      </c>
      <c r="S14" s="204">
        <f>Amortization!F20</f>
        <v>0</v>
      </c>
      <c r="T14" s="204">
        <f>Amortization!F22</f>
        <v>0</v>
      </c>
      <c r="U14" s="204">
        <f>Amortization!F24</f>
        <v>0</v>
      </c>
      <c r="V14" s="204">
        <f>Amortization!F26</f>
        <v>0</v>
      </c>
      <c r="W14" s="204">
        <f>Amortization!F28</f>
        <v>0</v>
      </c>
      <c r="X14" s="204">
        <f>Amortization!F30</f>
        <v>0</v>
      </c>
      <c r="Y14" s="204">
        <f>Amortization!F32</f>
        <v>0</v>
      </c>
      <c r="Z14" s="204">
        <f>Amortization!F34</f>
        <v>0</v>
      </c>
      <c r="AA14" s="204">
        <f>Amortization!F36</f>
        <v>0</v>
      </c>
      <c r="AB14" s="204">
        <f>Amortization!F38</f>
        <v>0</v>
      </c>
      <c r="AC14" s="204">
        <f>Amortization!F40</f>
        <v>0</v>
      </c>
      <c r="AD14" s="204">
        <f>Amortization!F42</f>
        <v>0</v>
      </c>
      <c r="AE14" s="204">
        <f>Amortization!F44</f>
        <v>0</v>
      </c>
      <c r="AF14" s="204">
        <f>Amortization!F46</f>
        <v>0</v>
      </c>
      <c r="AG14" s="204">
        <f>Amortization!F48</f>
        <v>0</v>
      </c>
      <c r="AH14" s="204">
        <f>Amortization!F50</f>
        <v>0</v>
      </c>
      <c r="AI14" s="204">
        <f>Amortization!F52</f>
        <v>0</v>
      </c>
      <c r="AJ14" s="204">
        <f>Amortization!F54</f>
        <v>0</v>
      </c>
      <c r="AK14" s="204">
        <f>Amortization!F56</f>
        <v>0</v>
      </c>
      <c r="AL14" s="204">
        <f>Amortization!F58</f>
        <v>0</v>
      </c>
      <c r="AM14" s="204">
        <f>Amortization!F60</f>
        <v>0</v>
      </c>
      <c r="AN14" s="204">
        <f>Amortization!F62</f>
        <v>0</v>
      </c>
      <c r="AO14" s="204">
        <f>Amortization!F64</f>
        <v>0</v>
      </c>
      <c r="AP14" s="204">
        <f>Amortization!F66</f>
        <v>0</v>
      </c>
      <c r="AQ14" s="204">
        <f>Amortization!F68</f>
        <v>0</v>
      </c>
    </row>
    <row r="15" spans="1:43" x14ac:dyDescent="0.35">
      <c r="B15" t="s">
        <v>233</v>
      </c>
      <c r="E15" s="98">
        <f>IF(E12=1,Amortization!E8,IF(E12=2,Amortization!E10,IF(E12=3,Amortization!E12,IF(E12=4,Amortization!E14,IF(E12=5,Amortization!E16,IF(E12=6,Amortization!E18,IF(E12=7,Amortization!E20,IF(E12=8,Amortization!E22,IF(E12=9,Amortization!E24,IF(E12=10,Amortization!E26,IF(E12=11,Amortization!E28,IF(E12=12,Amortization!E30,IF(E12=13,Amortization!E32,IF(E12=14,Amortization!E34,IF(E12=15,Amortization!E36,IF(E12=16,Amortization!E38,IF(E12=17,Amortization!E40,IF(E12=18,Amortization!E42,IF(E12=19,Amortization!E44,IF(E12=20,Amortization!E46,IF(E12=21,Amortization!E48,IF(E12=22,Amortization!E50,IF(E12=23,Amortization!E52,IF(E12=24,Amortization!E54,IF(E12=25,Amortization!E56,IF(E12=26,Amortization!E58,IF(E12=27,Amortization!E60,IF(E12=28,Amortization!E62,IF(E12=29,Amortization!E64,IF(E12=30,Amortization!E66,0))))))))))))))))))))))))))))))</f>
        <v>0</v>
      </c>
      <c r="F15" s="97"/>
      <c r="G15" s="67">
        <f t="shared" ref="G15:G26" si="1">E15</f>
        <v>0</v>
      </c>
      <c r="H15" s="67"/>
      <c r="I15" s="104">
        <v>0</v>
      </c>
      <c r="J15" s="104">
        <v>0</v>
      </c>
      <c r="K15" s="104">
        <v>0</v>
      </c>
      <c r="L15" s="104">
        <v>0</v>
      </c>
      <c r="M15" s="121">
        <f>Amortization!G8</f>
        <v>4751675.6756756753</v>
      </c>
      <c r="N15" s="121">
        <f>Amortization!G10</f>
        <v>4919351.3513513505</v>
      </c>
      <c r="O15" s="121">
        <f>Amortization!G12</f>
        <v>5087027.0270270268</v>
      </c>
      <c r="P15" s="121">
        <f>Amortization!G14</f>
        <v>5254702.702702703</v>
      </c>
      <c r="Q15" s="121">
        <f>Amortization!G16</f>
        <v>5422378.3783783782</v>
      </c>
      <c r="R15" s="121">
        <f>Amortization!G18</f>
        <v>5758054.0540540535</v>
      </c>
      <c r="S15" s="121">
        <f>Amortization!G20</f>
        <v>5661729.7297297297</v>
      </c>
      <c r="T15" s="121">
        <f>Amortization!G22</f>
        <v>5565405.4054054059</v>
      </c>
      <c r="U15" s="121">
        <f>Amortization!G24</f>
        <v>5469081.0810810812</v>
      </c>
      <c r="V15" s="121">
        <f>Amortization!G26</f>
        <v>5372756.7567567565</v>
      </c>
      <c r="W15" s="121">
        <f>Amortization!G28</f>
        <v>5276432.4324324327</v>
      </c>
      <c r="X15" s="121">
        <f>Amortization!G30</f>
        <v>5180108.1081081079</v>
      </c>
      <c r="Y15" s="121">
        <f>Amortization!G32</f>
        <v>5083783.7837837841</v>
      </c>
      <c r="Z15" s="121">
        <f>Amortization!G34</f>
        <v>4987459.4594594594</v>
      </c>
      <c r="AA15" s="121">
        <f>Amortization!G36</f>
        <v>4891135.1351351347</v>
      </c>
      <c r="AB15" s="121">
        <f>Amortization!G38</f>
        <v>4794810.8108108109</v>
      </c>
      <c r="AC15" s="121">
        <f>Amortization!G40</f>
        <v>4698486.4864864871</v>
      </c>
      <c r="AD15" s="121">
        <f>Amortization!G42</f>
        <v>4602162.1621621624</v>
      </c>
      <c r="AE15" s="121">
        <f>Amortization!G44</f>
        <v>4505837.8378378376</v>
      </c>
      <c r="AF15" s="121">
        <f>Amortization!G46</f>
        <v>4409513.5135135138</v>
      </c>
      <c r="AG15" s="121">
        <f>Amortization!G48</f>
        <v>4313189.1891891891</v>
      </c>
      <c r="AH15" s="121">
        <f>Amortization!G50</f>
        <v>4216864.8648648653</v>
      </c>
      <c r="AI15" s="121">
        <f>Amortization!G52</f>
        <v>4120540.5405405406</v>
      </c>
      <c r="AJ15" s="121">
        <f>Amortization!G54</f>
        <v>4024216.2162162168</v>
      </c>
      <c r="AK15" s="121">
        <f>Amortization!G56</f>
        <v>3927891.8918918921</v>
      </c>
      <c r="AL15" s="121">
        <f>Amortization!G58</f>
        <v>3831567.5675675678</v>
      </c>
      <c r="AM15" s="121">
        <f>Amortization!G60</f>
        <v>3735243.2432432435</v>
      </c>
      <c r="AN15" s="121">
        <f>Amortization!G62</f>
        <v>3638918.9189189193</v>
      </c>
      <c r="AO15" s="121">
        <f>Amortization!G64</f>
        <v>3542594.594594595</v>
      </c>
      <c r="AP15" s="121">
        <f>Amortization!G66</f>
        <v>3446270.2702702708</v>
      </c>
      <c r="AQ15" s="121">
        <f>Amortization!G68</f>
        <v>3349945.9459459465</v>
      </c>
    </row>
    <row r="16" spans="1:43" x14ac:dyDescent="0.35">
      <c r="B16" t="s">
        <v>205</v>
      </c>
      <c r="E16" s="199">
        <f>IF(E12=0,EdSpend!E10,IF(E12=1,EdSpend!E12,IF(E12=2,EdSpend!E14,IF(E12=3,EdSpend!E16,IF(E12=4,EdSpend!E18,IF(E12=5,EdSpend!E20,IF(E12=6,EdSpend!E22,IF(E12=7,EdSpend!E24,IF(E12=8,EdSpend!E26,IF(E12=9,EdSpend!E28,IF(E12=10,EdSpend!E30,IF(E12=11,EdSpend!E32,IF(E12=12,EdSpend!E34,IF(E12=13,EdSpend!E36,IF(E12=14,EdSpend!E38,IF(E12=15,EdSpend!E40,IF(E12=16,EdSpend!E42,IF(E12=17,EdSpend!E44,IF(E12=18,EdSpend!E46,IF(E12=19,EdSpend!E48,IF(E12=20,EdSpend!E50,IF(E12=21,EdSpend!E52,IF(E12=22,EdSpend!E54,IF(E12=23,EdSpend!E56,IF(E12=24,EdSpend!E58,IF(E12=25,EdSpend!E60,IF(E12=26,EdSpend!E62,IF(E12=27,EdSpend!E64,IF(E12=28,EdSpend!E66,IF(E12=29,EdSpend!E68,IF(E12=30,EdSpend!E70,0)))))))))))))))))))))))))))))))</f>
        <v>21582484</v>
      </c>
      <c r="F16" s="97"/>
      <c r="G16" s="96">
        <f t="shared" si="1"/>
        <v>21582484</v>
      </c>
      <c r="H16" s="50"/>
      <c r="I16" s="121">
        <f>EdSpend!E10</f>
        <v>21582484</v>
      </c>
      <c r="J16" s="105">
        <f>EdSpend!E12</f>
        <v>25241553</v>
      </c>
      <c r="K16" s="121">
        <f>EdSpend!E14</f>
        <v>26306846.6277721</v>
      </c>
      <c r="L16" s="121">
        <f>EdSpend!E16</f>
        <v>27781418.178035799</v>
      </c>
      <c r="M16" s="121">
        <f>EdSpend!E18</f>
        <v>29612355.118570101</v>
      </c>
      <c r="N16" s="121">
        <f>EdSpend!E20</f>
        <v>30785442.108961999</v>
      </c>
      <c r="O16" s="121">
        <f>EdSpend!E22</f>
        <v>31862932.582775671</v>
      </c>
      <c r="P16" s="121">
        <f>EdSpend!E24</f>
        <v>32978135.223172821</v>
      </c>
      <c r="Q16" s="121">
        <f>EdSpend!E26</f>
        <v>34132369.95598387</v>
      </c>
      <c r="R16" s="121">
        <f>EdSpend!E28</f>
        <v>35327002.904443309</v>
      </c>
      <c r="S16" s="121">
        <f>EdSpend!E30</f>
        <v>36563448.006098822</v>
      </c>
      <c r="T16" s="121">
        <f>EdSpend!E32</f>
        <v>37843168.686312281</v>
      </c>
      <c r="U16" s="121">
        <f>EdSpend!E34</f>
        <v>39167679.590333208</v>
      </c>
      <c r="V16" s="121">
        <f>EdSpend!E36</f>
        <v>40538548.375994869</v>
      </c>
      <c r="W16" s="121">
        <f>EdSpend!E38</f>
        <v>41957397.569154687</v>
      </c>
      <c r="X16" s="121">
        <f>EdSpend!E40</f>
        <v>43425906.484075099</v>
      </c>
      <c r="Y16" s="121">
        <f>EdSpend!E42</f>
        <v>44945813.211017728</v>
      </c>
      <c r="Z16" s="121">
        <f>EdSpend!E44</f>
        <v>46518916.673403345</v>
      </c>
      <c r="AA16" s="121">
        <f>EdSpend!E46</f>
        <v>48147078.756972462</v>
      </c>
      <c r="AB16" s="121">
        <f>EdSpend!E48</f>
        <v>49832226.5134665</v>
      </c>
      <c r="AC16" s="121">
        <f>EdSpend!E50</f>
        <v>51576354.441437826</v>
      </c>
      <c r="AD16" s="121">
        <f>EdSpend!E52</f>
        <v>53381526.846888147</v>
      </c>
      <c r="AE16" s="121">
        <f>EdSpend!E54</f>
        <v>55249880.286529236</v>
      </c>
      <c r="AF16" s="121">
        <f>EdSpend!E56</f>
        <v>57183626.096557759</v>
      </c>
      <c r="AG16" s="121">
        <f>EdSpend!E58</f>
        <v>59185053.009937279</v>
      </c>
      <c r="AH16" s="121">
        <f>EdSpend!E60</f>
        <v>61256529.865285084</v>
      </c>
      <c r="AI16" s="121">
        <f>EdSpend!E62</f>
        <v>63400508.410570063</v>
      </c>
      <c r="AJ16" s="121">
        <f>EdSpend!E64</f>
        <v>65619526.204940014</v>
      </c>
      <c r="AK16" s="121">
        <f>EdSpend!E66</f>
        <v>67916209.622112915</v>
      </c>
      <c r="AL16" s="121">
        <f>EdSpend!E68</f>
        <v>70293276.958886862</v>
      </c>
      <c r="AM16" s="121">
        <f>EdSpend!E70</f>
        <v>72753541.652447909</v>
      </c>
      <c r="AN16" s="121">
        <f>EdSpend!E72</f>
        <v>75299915.610283583</v>
      </c>
      <c r="AO16" s="121">
        <f>EdSpend!E74</f>
        <v>77935412.65664351</v>
      </c>
      <c r="AP16" s="121">
        <f>EdSpend!E76</f>
        <v>80663152.099626034</v>
      </c>
      <c r="AQ16" s="121">
        <f>EdSpend!E78</f>
        <v>83486362.423112944</v>
      </c>
    </row>
    <row r="17" spans="2:43" x14ac:dyDescent="0.35">
      <c r="B17" t="s">
        <v>206</v>
      </c>
      <c r="E17" s="99">
        <f>IF(E12=0,EdSpend!D10,IF(E12=1,EdSpend!D12,IF(E12=2,EdSpend!D14,IF(E12=3,EdSpend!D16,IF(E12=4,EdSpend!D18,IF(E12=5,EdSpend!D20,IF(E12=6,EdSpend!D22,IF(E12=7,EdSpend!D24,IF(E12=8,EdSpend!D26,IF(E12=9,EdSpend!D28,IF(E12=10,EdSpend!D30,IF(E12=11,EdSpend!D32,IF(E12=12,EdSpend!D34,IF(E12=13,EdSpend!D36,IF(E12=14,EdSpend!D38,IF(E12=15,EdSpend!D40,IF(E12=16,EdSpend!D42,IF(E12=17,EdSpend!D44,IF(E12=18,EdSpend!D46,IF(E12=19,EdSpend!D48,IF(E12=20,EdSpend!D50,IF(E12=21,EdSpend!D52,IF(E12=22,EdSpend!D54,IF(E12=23,EdSpend!D56,IF(E12=24,EdSpend!D58,IF(E12=25,EdSpend!D60,IF(E12=26,EdSpend!D62,IF(E12=27,EdSpend!D64,IF(E12=28,EdSpend!D66,IF(E12=29,EdSpend!D68,IF(E12=30,EdSpend!D70,0)))))))))))))))))))))))))))))))</f>
        <v>21582484</v>
      </c>
      <c r="F17" s="97"/>
      <c r="G17" s="96"/>
      <c r="H17" s="50"/>
      <c r="I17" s="112">
        <f>EdSpend!D10</f>
        <v>21582484</v>
      </c>
      <c r="J17" s="121">
        <f>EdSpend!D12</f>
        <v>25241553</v>
      </c>
      <c r="K17" s="112">
        <f>EdSpend!D14</f>
        <v>26306846.6277721</v>
      </c>
      <c r="L17" s="112">
        <f>EdSpend!D16</f>
        <v>30190392.415894412</v>
      </c>
      <c r="M17" s="112">
        <f>EdSpend!D18</f>
        <v>31571028.068321645</v>
      </c>
      <c r="N17" s="112">
        <f>EdSpend!D20</f>
        <v>33609548.706201121</v>
      </c>
      <c r="O17" s="112">
        <f>EdSpend!D22</f>
        <v>33573244.50987675</v>
      </c>
      <c r="P17" s="112">
        <f>EdSpend!D24</f>
        <v>34835462.746628955</v>
      </c>
      <c r="Q17" s="112">
        <f>EdSpend!D26</f>
        <v>35757563.855612807</v>
      </c>
      <c r="R17" s="112">
        <f>EdSpend!D28</f>
        <v>37760956.499053694</v>
      </c>
      <c r="S17" s="112">
        <f>EdSpend!D30</f>
        <v>38277099.280439727</v>
      </c>
      <c r="T17" s="112">
        <f>EdSpend!D32</f>
        <v>40152502.524370231</v>
      </c>
      <c r="U17" s="112">
        <f>EdSpend!D34</f>
        <v>43819565.161862895</v>
      </c>
      <c r="V17" s="112">
        <f>EdSpend!D36</f>
        <v>45148463.720379166</v>
      </c>
      <c r="W17" s="112">
        <f>EdSpend!D38</f>
        <v>46526482.812718503</v>
      </c>
      <c r="X17" s="112">
        <f>EdSpend!D40</f>
        <v>47955358.759459578</v>
      </c>
      <c r="Y17" s="112">
        <f>EdSpend!D42</f>
        <v>49436889.507496074</v>
      </c>
      <c r="Z17" s="112">
        <f>EdSpend!D44</f>
        <v>50972936.829712421</v>
      </c>
      <c r="AA17" s="112">
        <f>EdSpend!D46</f>
        <v>52565428.603785977</v>
      </c>
      <c r="AB17" s="112">
        <f>EdSpend!D48</f>
        <v>54216361.172991849</v>
      </c>
      <c r="AC17" s="112">
        <f>EdSpend!D50</f>
        <v>55927801.791992769</v>
      </c>
      <c r="AD17" s="112">
        <f>EdSpend!D52</f>
        <v>57701891.160706341</v>
      </c>
      <c r="AE17" s="112">
        <f>EdSpend!D54</f>
        <v>59540846.049456008</v>
      </c>
      <c r="AF17" s="112">
        <f>EdSpend!D56</f>
        <v>61446962.018730715</v>
      </c>
      <c r="AG17" s="112">
        <f>EdSpend!D58</f>
        <v>63422616.23700089</v>
      </c>
      <c r="AH17" s="112">
        <f>EdSpend!D60</f>
        <v>65470270.400166065</v>
      </c>
      <c r="AI17" s="112">
        <f>EdSpend!D62</f>
        <v>67592473.756341442</v>
      </c>
      <c r="AJ17" s="112">
        <f>EdSpend!D64</f>
        <v>69791866.239828497</v>
      </c>
      <c r="AK17" s="112">
        <f>EdSpend!D66</f>
        <v>72071181.718256533</v>
      </c>
      <c r="AL17" s="112">
        <f>EdSpend!D68</f>
        <v>74433251.357030526</v>
      </c>
      <c r="AM17" s="112">
        <f>EdSpend!D70</f>
        <v>76881007.1053738</v>
      </c>
      <c r="AN17" s="121">
        <f>EdSpend!D72</f>
        <v>79417485.308412984</v>
      </c>
      <c r="AO17" s="121">
        <f>EdSpend!D74</f>
        <v>82045830.449918762</v>
      </c>
      <c r="AP17" s="121">
        <f>EdSpend!D76</f>
        <v>84769299.030486614</v>
      </c>
      <c r="AQ17" s="121">
        <f>EdSpend!D78</f>
        <v>87591263.586120278</v>
      </c>
    </row>
    <row r="18" spans="2:43" s="138" customFormat="1" hidden="1" x14ac:dyDescent="0.35">
      <c r="B18" s="138" t="s">
        <v>131</v>
      </c>
      <c r="E18" s="139">
        <v>87</v>
      </c>
      <c r="F18" s="140"/>
      <c r="G18" s="141"/>
      <c r="H18" s="142"/>
      <c r="I18" s="143"/>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row>
    <row r="19" spans="2:43" s="101" customFormat="1" x14ac:dyDescent="0.35">
      <c r="B19" s="101" t="s">
        <v>209</v>
      </c>
      <c r="E19" s="155">
        <f>IF(E12=0,Enrollment!C9,IF(E12=1,Enrollment!C11,IF(E12=2,Enrollment!C13,IF(E12=3,Enrollment!C15,IF(E12=4,Enrollment!C17,IF(E12=5,Enrollment!C19,IF(E12=6,Enrollment!C21,IF(E12=7,Enrollment!C23,IF(E12=8,Enrollment!C25,IF(E12=9,Enrollment!C27,IF(E12=10,Enrollment!C29,IF(E12=11,Enrollment!C31,IF(E12=12,Enrollment!C33,IF(E12=13,Enrollment!C35,IF(E12=14,Enrollment!C37,IF(E12=15,Enrollment!C39,IF(E12=16,Enrollment!C41,IF(E12=17,Enrollment!C43,IF(E12=18,Enrollment!C45,IF(E12=19,Enrollment!C47,IF(E12=20,Enrollment!C49,IF(E12=21,Enrollment!C51,IF(E12=22,Enrollment!C53,IF(E12=23,Enrollment!C55,IF(E12=24,Enrollment!C57,IF(E12=25,Enrollment!C59,IF(E12=26,Enrollment!C61,IF(E12=27,Enrollment!C63,IF(E12=28,Enrollment!C65,IF(E12=29,Enrollment!C67,IF(E12=30,Enrollment!C69,0)))))))))))))))))))))))))))))))</f>
        <v>1520.47</v>
      </c>
      <c r="F19" s="127"/>
      <c r="G19" s="100">
        <f t="shared" si="1"/>
        <v>1520.47</v>
      </c>
      <c r="H19" s="100"/>
      <c r="I19" s="158">
        <v>1387.6</v>
      </c>
      <c r="J19" s="158">
        <f>Enrollment!C13</f>
        <v>1520.47</v>
      </c>
      <c r="K19" s="158">
        <f>Enrollment!C15</f>
        <v>1520.47</v>
      </c>
      <c r="L19" s="158">
        <f>Enrollment!C17</f>
        <v>1520.47</v>
      </c>
      <c r="M19" s="158">
        <f>Enrollment!C19</f>
        <v>1520.47</v>
      </c>
      <c r="N19" s="158">
        <f>Enrollment!C21</f>
        <v>1520.47</v>
      </c>
      <c r="O19" s="158">
        <f>Enrollment!C23</f>
        <v>1520.47</v>
      </c>
      <c r="P19" s="158">
        <f>Enrollment!C25</f>
        <v>1520.47</v>
      </c>
      <c r="Q19" s="158">
        <f>Enrollment!C27</f>
        <v>1520.47</v>
      </c>
      <c r="R19" s="158">
        <f>Enrollment!C29</f>
        <v>1520.47</v>
      </c>
      <c r="S19" s="158">
        <f>Enrollment!C31</f>
        <v>1520.47</v>
      </c>
      <c r="T19" s="158">
        <f>Enrollment!C33</f>
        <v>1520.47</v>
      </c>
      <c r="U19" s="158">
        <f>Enrollment!C35</f>
        <v>1520.47</v>
      </c>
      <c r="V19" s="158">
        <f>Enrollment!C37</f>
        <v>1520.47</v>
      </c>
      <c r="W19" s="158">
        <f>Enrollment!C39</f>
        <v>1520.47</v>
      </c>
      <c r="X19" s="158">
        <f>Enrollment!C41</f>
        <v>1520.47</v>
      </c>
      <c r="Y19" s="158">
        <f>Enrollment!C43</f>
        <v>1520.47</v>
      </c>
      <c r="Z19" s="158">
        <f>Enrollment!C45</f>
        <v>1520.47</v>
      </c>
      <c r="AA19" s="158">
        <f>Enrollment!C47</f>
        <v>1520.47</v>
      </c>
      <c r="AB19" s="158">
        <f>Enrollment!C49</f>
        <v>1520.47</v>
      </c>
      <c r="AC19" s="158">
        <f>Enrollment!C51</f>
        <v>1520.47</v>
      </c>
      <c r="AD19" s="158">
        <f>Enrollment!C53</f>
        <v>1520.47</v>
      </c>
      <c r="AE19" s="158">
        <f>Enrollment!C55</f>
        <v>1520.47</v>
      </c>
      <c r="AF19" s="158">
        <f>Enrollment!C57</f>
        <v>1520.47</v>
      </c>
      <c r="AG19" s="158">
        <f>Enrollment!C59</f>
        <v>1520.47</v>
      </c>
      <c r="AH19" s="158">
        <f>Enrollment!C61</f>
        <v>1520.47</v>
      </c>
      <c r="AI19" s="158">
        <f>Enrollment!C63</f>
        <v>1520.47</v>
      </c>
      <c r="AJ19" s="158">
        <f>Enrollment!C65</f>
        <v>1520.47</v>
      </c>
      <c r="AK19" s="158">
        <f>Enrollment!C67</f>
        <v>1520.47</v>
      </c>
      <c r="AL19" s="158">
        <f>Enrollment!C69</f>
        <v>1520.47</v>
      </c>
      <c r="AM19" s="158">
        <f>Enrollment!C71</f>
        <v>1520.47</v>
      </c>
      <c r="AN19" s="158">
        <f>Enrollment!C73</f>
        <v>1520.47</v>
      </c>
      <c r="AO19" s="158">
        <f>Enrollment!C75</f>
        <v>1520.47</v>
      </c>
      <c r="AP19" s="158">
        <f>Enrollment!C77</f>
        <v>1520.47</v>
      </c>
      <c r="AQ19" s="158">
        <f>Enrollment!C79</f>
        <v>1520.47</v>
      </c>
    </row>
    <row r="20" spans="2:43" s="101" customFormat="1" x14ac:dyDescent="0.35">
      <c r="B20" s="101" t="s">
        <v>210</v>
      </c>
      <c r="E20" s="155">
        <f>IF(E12=0,Enrollment!D9,IF(E12=1,Enrollment!D11,IF(E12=2,Enrollment!D13,IF(E12=3,Enrollment!D15,IF(E12=4,Enrollment!D17,IF(E12=5,Enrollment!D19,IF(E12=6,Enrollment!D21,IF(E12=7,Enrollment!D23,IF(E12=8,Enrollment!D25,IF(E12=9,Enrollment!D27,IF(E12=10,Enrollment!D29,IF(E12=11,Enrollment!D31,IF(E12=12,Enrollment!D33,IF(E12=13,Enrollment!D35,IF(E12=14,Enrollment!D37,IF(E12=15,Enrollment!D39,IF(E12=16,Enrollment!D41,IF(E12=17,Enrollment!D43,IF(E12=18,Enrollment!D45,IF(E12=19,Enrollment!D47,IF(E12=20,Enrollment!D49,IF(E12=21,Enrollment!D51,IF(E12=22,Enrollment!D53,IF(E12=23,Enrollment!D55,IF(E12=24,Enrollment!D57,IF(E12=25,Enrollment!D59,IF(E12=26,Enrollment!D61,IF(E12=27,Enrollment!D63,IF(E12=28,Enrollment!D65,IF(E12=29,Enrollment!D67,IF(E12=30,Enrollment!D69,0)))))))))))))))))))))))))))))))</f>
        <v>1520.47</v>
      </c>
      <c r="F20" s="127"/>
      <c r="G20" s="100"/>
      <c r="H20" s="100"/>
      <c r="I20" s="158">
        <v>1387.6</v>
      </c>
      <c r="J20" s="158">
        <f>Enrollment!D13</f>
        <v>1520.47</v>
      </c>
      <c r="K20" s="158">
        <f>Enrollment!D15</f>
        <v>1520.47</v>
      </c>
      <c r="L20" s="158">
        <f>Enrollment!D17</f>
        <v>1520.47</v>
      </c>
      <c r="M20" s="158">
        <f>Enrollment!D19</f>
        <v>1520.47</v>
      </c>
      <c r="N20" s="158">
        <f>Enrollment!D21</f>
        <v>1520.47</v>
      </c>
      <c r="O20" s="158">
        <f>Enrollment!D23</f>
        <v>1520.47</v>
      </c>
      <c r="P20" s="158">
        <f>Enrollment!D25</f>
        <v>1520.47</v>
      </c>
      <c r="Q20" s="158">
        <f>Enrollment!D27</f>
        <v>1520.47</v>
      </c>
      <c r="R20" s="158">
        <f>Enrollment!D29</f>
        <v>1520.47</v>
      </c>
      <c r="S20" s="158">
        <f>Enrollment!D31</f>
        <v>1520.47</v>
      </c>
      <c r="T20" s="158">
        <f>Enrollment!D33</f>
        <v>1520.47</v>
      </c>
      <c r="U20" s="158">
        <f>Enrollment!D35</f>
        <v>1520.47</v>
      </c>
      <c r="V20" s="158">
        <f>Enrollment!D37</f>
        <v>1520.47</v>
      </c>
      <c r="W20" s="158">
        <f>Enrollment!D39</f>
        <v>1520.47</v>
      </c>
      <c r="X20" s="158">
        <f>Enrollment!D41</f>
        <v>1520.47</v>
      </c>
      <c r="Y20" s="158">
        <f>Enrollment!D43</f>
        <v>1520.47</v>
      </c>
      <c r="Z20" s="158">
        <f>Enrollment!D45</f>
        <v>1520.47</v>
      </c>
      <c r="AA20" s="158">
        <f>Enrollment!D47</f>
        <v>1520.47</v>
      </c>
      <c r="AB20" s="158">
        <f>Enrollment!D49</f>
        <v>1520.47</v>
      </c>
      <c r="AC20" s="158">
        <f>Enrollment!D51</f>
        <v>1520.47</v>
      </c>
      <c r="AD20" s="158">
        <f>Enrollment!D53</f>
        <v>1520.47</v>
      </c>
      <c r="AE20" s="158">
        <f>Enrollment!D55</f>
        <v>1520.47</v>
      </c>
      <c r="AF20" s="158">
        <f>Enrollment!D57</f>
        <v>1520.47</v>
      </c>
      <c r="AG20" s="158">
        <f>Enrollment!D59</f>
        <v>1520.47</v>
      </c>
      <c r="AH20" s="158">
        <f>Enrollment!D61</f>
        <v>1520.47</v>
      </c>
      <c r="AI20" s="158">
        <f>Enrollment!D63</f>
        <v>1520.47</v>
      </c>
      <c r="AJ20" s="158">
        <f>Enrollment!D65</f>
        <v>1520.47</v>
      </c>
      <c r="AK20" s="158">
        <f>Enrollment!D67</f>
        <v>1520.47</v>
      </c>
      <c r="AL20" s="158">
        <f>Enrollment!D69</f>
        <v>1520.47</v>
      </c>
      <c r="AM20" s="158">
        <f>Enrollment!D71</f>
        <v>1520.47</v>
      </c>
      <c r="AN20" s="158">
        <f>Enrollment!D73</f>
        <v>1520.47</v>
      </c>
      <c r="AO20" s="158">
        <f>Enrollment!D75</f>
        <v>1520.47</v>
      </c>
      <c r="AP20" s="158">
        <f>Enrollment!D77</f>
        <v>1520.47</v>
      </c>
      <c r="AQ20" s="158">
        <f>Enrollment!D79</f>
        <v>1520.47</v>
      </c>
    </row>
    <row r="21" spans="2:43" x14ac:dyDescent="0.35">
      <c r="B21" t="s">
        <v>207</v>
      </c>
      <c r="E21" s="61">
        <f>E16/E19</f>
        <v>14194.613507665392</v>
      </c>
      <c r="F21" s="46"/>
      <c r="G21" s="86">
        <f t="shared" si="1"/>
        <v>14194.613507665392</v>
      </c>
      <c r="H21" s="64"/>
      <c r="I21" s="61">
        <f t="shared" ref="I21:AQ21" si="2">I16/I19</f>
        <v>15553.822427212453</v>
      </c>
      <c r="J21" s="61">
        <f t="shared" si="2"/>
        <v>16601.151617591928</v>
      </c>
      <c r="K21" s="61">
        <f t="shared" si="2"/>
        <v>17301.786044954588</v>
      </c>
      <c r="L21" s="61">
        <f t="shared" si="2"/>
        <v>18271.599030586462</v>
      </c>
      <c r="M21" s="61">
        <f t="shared" si="2"/>
        <v>19475.79045858853</v>
      </c>
      <c r="N21" s="61">
        <f t="shared" si="2"/>
        <v>20247.319650477813</v>
      </c>
      <c r="O21" s="61">
        <f t="shared" si="2"/>
        <v>20955.975838244536</v>
      </c>
      <c r="P21" s="61">
        <f t="shared" si="2"/>
        <v>21689.434992583097</v>
      </c>
      <c r="Q21" s="61">
        <f t="shared" si="2"/>
        <v>22448.565217323503</v>
      </c>
      <c r="R21" s="61">
        <f t="shared" si="2"/>
        <v>23234.26499992983</v>
      </c>
      <c r="S21" s="61">
        <f t="shared" si="2"/>
        <v>24047.464274927373</v>
      </c>
      <c r="T21" s="61">
        <f t="shared" si="2"/>
        <v>24889.125524549829</v>
      </c>
      <c r="U21" s="61">
        <f t="shared" si="2"/>
        <v>25760.244917909073</v>
      </c>
      <c r="V21" s="61">
        <f t="shared" si="2"/>
        <v>26661.85349003589</v>
      </c>
      <c r="W21" s="61">
        <f t="shared" si="2"/>
        <v>27595.018362187144</v>
      </c>
      <c r="X21" s="61">
        <f t="shared" si="2"/>
        <v>28560.844004863691</v>
      </c>
      <c r="Y21" s="61">
        <f t="shared" si="2"/>
        <v>29560.473545033921</v>
      </c>
      <c r="Z21" s="61">
        <f t="shared" si="2"/>
        <v>30595.090119110107</v>
      </c>
      <c r="AA21" s="61">
        <f t="shared" si="2"/>
        <v>31665.91827327896</v>
      </c>
      <c r="AB21" s="61">
        <f t="shared" si="2"/>
        <v>32774.225412843727</v>
      </c>
      <c r="AC21" s="61">
        <f t="shared" si="2"/>
        <v>33921.323302293255</v>
      </c>
      <c r="AD21" s="61">
        <f t="shared" si="2"/>
        <v>35108.569617873516</v>
      </c>
      <c r="AE21" s="61">
        <f t="shared" si="2"/>
        <v>36337.369554499091</v>
      </c>
      <c r="AF21" s="61">
        <f t="shared" si="2"/>
        <v>37609.177488906564</v>
      </c>
      <c r="AG21" s="61">
        <f t="shared" si="2"/>
        <v>38925.498701018289</v>
      </c>
      <c r="AH21" s="61">
        <f t="shared" si="2"/>
        <v>40287.891155553931</v>
      </c>
      <c r="AI21" s="61">
        <f t="shared" si="2"/>
        <v>41697.967345998317</v>
      </c>
      <c r="AJ21" s="61">
        <f t="shared" si="2"/>
        <v>43157.396203108256</v>
      </c>
      <c r="AK21" s="61">
        <f t="shared" si="2"/>
        <v>44667.90507021705</v>
      </c>
      <c r="AL21" s="61">
        <f t="shared" si="2"/>
        <v>46231.281747674642</v>
      </c>
      <c r="AM21" s="61">
        <f t="shared" si="2"/>
        <v>47849.37660884326</v>
      </c>
      <c r="AN21" s="61">
        <f t="shared" si="2"/>
        <v>49524.104790152771</v>
      </c>
      <c r="AO21" s="61">
        <f t="shared" si="2"/>
        <v>51257.448457808117</v>
      </c>
      <c r="AP21" s="61">
        <f t="shared" si="2"/>
        <v>53051.459153831405</v>
      </c>
      <c r="AQ21" s="61">
        <f t="shared" si="2"/>
        <v>54908.260224215497</v>
      </c>
    </row>
    <row r="22" spans="2:43" x14ac:dyDescent="0.35">
      <c r="B22" t="s">
        <v>121</v>
      </c>
      <c r="E22" s="61">
        <f>E21+(E15/E19)</f>
        <v>14194.613507665392</v>
      </c>
      <c r="F22" s="46"/>
      <c r="G22" s="72">
        <f t="shared" si="1"/>
        <v>14194.613507665392</v>
      </c>
      <c r="H22" s="72"/>
      <c r="I22" s="61">
        <f>I21+(I15/I19)</f>
        <v>15553.822427212453</v>
      </c>
      <c r="J22" s="61">
        <f>J21+(I15/J19)</f>
        <v>16601.151617591928</v>
      </c>
      <c r="K22" s="61">
        <f t="shared" ref="K22:AO22" si="3">K21+(K15/K19)</f>
        <v>17301.786044954588</v>
      </c>
      <c r="L22" s="61">
        <f t="shared" si="3"/>
        <v>18271.599030586462</v>
      </c>
      <c r="M22" s="61">
        <f t="shared" si="3"/>
        <v>22600.926551820015</v>
      </c>
      <c r="N22" s="61">
        <f t="shared" si="3"/>
        <v>23482.734588853018</v>
      </c>
      <c r="O22" s="61">
        <f t="shared" si="3"/>
        <v>24301.669621763467</v>
      </c>
      <c r="P22" s="61">
        <f t="shared" si="3"/>
        <v>25145.407621245751</v>
      </c>
      <c r="Q22" s="61">
        <f t="shared" si="3"/>
        <v>26014.816691129876</v>
      </c>
      <c r="R22" s="61">
        <f t="shared" si="3"/>
        <v>27021.287469333405</v>
      </c>
      <c r="S22" s="61">
        <f t="shared" si="3"/>
        <v>27771.135067333489</v>
      </c>
      <c r="T22" s="61">
        <f t="shared" si="3"/>
        <v>28549.444639958489</v>
      </c>
      <c r="U22" s="61">
        <f t="shared" si="3"/>
        <v>29357.212356320277</v>
      </c>
      <c r="V22" s="61">
        <f t="shared" si="3"/>
        <v>30195.469251449635</v>
      </c>
      <c r="W22" s="61">
        <f t="shared" si="3"/>
        <v>31065.282446603433</v>
      </c>
      <c r="X22" s="61">
        <f t="shared" si="3"/>
        <v>31967.756412282521</v>
      </c>
      <c r="Y22" s="61">
        <f t="shared" si="3"/>
        <v>32904.034275455291</v>
      </c>
      <c r="Z22" s="61">
        <f t="shared" si="3"/>
        <v>33875.299172534025</v>
      </c>
      <c r="AA22" s="61">
        <f t="shared" si="3"/>
        <v>34882.775649705414</v>
      </c>
      <c r="AB22" s="61">
        <f t="shared" si="3"/>
        <v>35927.731112272726</v>
      </c>
      <c r="AC22" s="61">
        <f t="shared" si="3"/>
        <v>37011.477324724794</v>
      </c>
      <c r="AD22" s="61">
        <f t="shared" si="3"/>
        <v>38135.371963307603</v>
      </c>
      <c r="AE22" s="61">
        <f t="shared" si="3"/>
        <v>39300.820222935719</v>
      </c>
      <c r="AF22" s="61">
        <f t="shared" si="3"/>
        <v>40509.276480345732</v>
      </c>
      <c r="AG22" s="61">
        <f t="shared" si="3"/>
        <v>41762.246015459998</v>
      </c>
      <c r="AH22" s="61">
        <f t="shared" si="3"/>
        <v>43061.286792998188</v>
      </c>
      <c r="AI22" s="61">
        <f t="shared" si="3"/>
        <v>44408.011306445114</v>
      </c>
      <c r="AJ22" s="61">
        <f t="shared" si="3"/>
        <v>45804.088486557594</v>
      </c>
      <c r="AK22" s="61">
        <f t="shared" si="3"/>
        <v>47251.245676668928</v>
      </c>
      <c r="AL22" s="61">
        <f t="shared" si="3"/>
        <v>48751.270677129069</v>
      </c>
      <c r="AM22" s="61">
        <f t="shared" si="3"/>
        <v>50306.013861300227</v>
      </c>
      <c r="AN22" s="61">
        <f t="shared" si="3"/>
        <v>51917.390365612278</v>
      </c>
      <c r="AO22" s="61">
        <f t="shared" si="3"/>
        <v>53587.382356270165</v>
      </c>
      <c r="AP22" s="61">
        <f t="shared" ref="AP22:AQ22" si="4">AP21+(AP15/AP19)</f>
        <v>55318.041375296001</v>
      </c>
      <c r="AQ22" s="61">
        <f t="shared" si="4"/>
        <v>57111.490768682634</v>
      </c>
    </row>
    <row r="23" spans="2:43" x14ac:dyDescent="0.35">
      <c r="B23" t="s">
        <v>208</v>
      </c>
      <c r="E23" s="61">
        <f>E17/E20</f>
        <v>14194.613507665392</v>
      </c>
      <c r="F23" s="46"/>
      <c r="G23" s="72"/>
      <c r="H23" s="72"/>
      <c r="I23" s="61">
        <f t="shared" ref="I23:AQ23" si="5">I17/I20</f>
        <v>15553.822427212453</v>
      </c>
      <c r="J23" s="61">
        <f t="shared" si="5"/>
        <v>16601.151617591928</v>
      </c>
      <c r="K23" s="61">
        <f t="shared" si="5"/>
        <v>17301.786044954588</v>
      </c>
      <c r="L23" s="61">
        <f t="shared" si="5"/>
        <v>19855.960601586623</v>
      </c>
      <c r="M23" s="61">
        <f t="shared" si="5"/>
        <v>20763.992757714157</v>
      </c>
      <c r="N23" s="61">
        <f t="shared" si="5"/>
        <v>22104.710192375464</v>
      </c>
      <c r="O23" s="61">
        <f t="shared" si="5"/>
        <v>22080.833235694718</v>
      </c>
      <c r="P23" s="61">
        <f t="shared" si="5"/>
        <v>22910.983279268221</v>
      </c>
      <c r="Q23" s="61">
        <f t="shared" si="5"/>
        <v>23517.441222525144</v>
      </c>
      <c r="R23" s="61">
        <f t="shared" si="5"/>
        <v>24835.055278337419</v>
      </c>
      <c r="S23" s="61">
        <f t="shared" si="5"/>
        <v>25174.517932244456</v>
      </c>
      <c r="T23" s="61">
        <f t="shared" si="5"/>
        <v>26407.954464323684</v>
      </c>
      <c r="U23" s="61">
        <f t="shared" si="5"/>
        <v>28819.749920658018</v>
      </c>
      <c r="V23" s="61">
        <f t="shared" si="5"/>
        <v>29693.755036521052</v>
      </c>
      <c r="W23" s="61">
        <f t="shared" si="5"/>
        <v>30600.06630365512</v>
      </c>
      <c r="X23" s="61">
        <f t="shared" si="5"/>
        <v>31539.8256851234</v>
      </c>
      <c r="Y23" s="61">
        <f t="shared" si="5"/>
        <v>32514.215675084724</v>
      </c>
      <c r="Z23" s="61">
        <f t="shared" si="5"/>
        <v>33524.460745501339</v>
      </c>
      <c r="AA23" s="61">
        <f t="shared" si="5"/>
        <v>34571.828844887423</v>
      </c>
      <c r="AB23" s="61">
        <f t="shared" si="5"/>
        <v>35657.632950990053</v>
      </c>
      <c r="AC23" s="61">
        <f t="shared" si="5"/>
        <v>36783.232679364126</v>
      </c>
      <c r="AD23" s="61">
        <f t="shared" si="5"/>
        <v>37950.035949874931</v>
      </c>
      <c r="AE23" s="61">
        <f t="shared" si="5"/>
        <v>39159.500713237358</v>
      </c>
      <c r="AF23" s="61">
        <f t="shared" si="5"/>
        <v>40413.136739778303</v>
      </c>
      <c r="AG23" s="61">
        <f t="shared" si="5"/>
        <v>41712.507472689947</v>
      </c>
      <c r="AH23" s="61">
        <f t="shared" si="5"/>
        <v>43059.231948125293</v>
      </c>
      <c r="AI23" s="61">
        <f t="shared" si="5"/>
        <v>44454.986784574139</v>
      </c>
      <c r="AJ23" s="61">
        <f t="shared" si="5"/>
        <v>45901.508244048549</v>
      </c>
      <c r="AK23" s="61">
        <f t="shared" si="5"/>
        <v>47400.594367699814</v>
      </c>
      <c r="AL23" s="61">
        <f t="shared" si="5"/>
        <v>48954.107188586771</v>
      </c>
      <c r="AM23" s="61">
        <f t="shared" si="5"/>
        <v>50563.975024416002</v>
      </c>
      <c r="AN23" s="61">
        <f t="shared" si="5"/>
        <v>52232.194853178939</v>
      </c>
      <c r="AO23" s="61">
        <f t="shared" si="5"/>
        <v>53960.834774720162</v>
      </c>
      <c r="AP23" s="61">
        <f t="shared" si="5"/>
        <v>55752.036561383393</v>
      </c>
      <c r="AQ23" s="61">
        <f t="shared" si="5"/>
        <v>57608.018300999218</v>
      </c>
    </row>
    <row r="24" spans="2:43" x14ac:dyDescent="0.35">
      <c r="B24" t="s">
        <v>127</v>
      </c>
      <c r="E24" s="79">
        <f>EdSpend!H10</f>
        <v>10250</v>
      </c>
      <c r="G24" s="80">
        <f t="shared" si="1"/>
        <v>10250</v>
      </c>
      <c r="H24" s="80"/>
      <c r="I24" s="105">
        <v>10217.32</v>
      </c>
      <c r="J24" s="105">
        <f>EdSpend!H12</f>
        <v>10250</v>
      </c>
      <c r="K24" s="105">
        <f>EdSpend!H14</f>
        <v>10608.75</v>
      </c>
      <c r="L24" s="105">
        <f>EdSpend!H16</f>
        <v>10980.05625</v>
      </c>
      <c r="M24" s="105">
        <f>EdSpend!H18</f>
        <v>11364.35821875</v>
      </c>
      <c r="N24" s="105">
        <f>EdSpend!H20</f>
        <v>11762.110756406249</v>
      </c>
      <c r="O24" s="105">
        <f>EdSpend!H22</f>
        <v>12173.784632880468</v>
      </c>
      <c r="P24" s="105">
        <f>EdSpend!H24</f>
        <v>12599.867095031284</v>
      </c>
      <c r="Q24" s="105">
        <f>EdSpend!H26</f>
        <v>13040.862443357379</v>
      </c>
      <c r="R24" s="105">
        <f>EdSpend!H28</f>
        <v>13497.292628874888</v>
      </c>
      <c r="S24" s="105">
        <f>EdSpend!H30</f>
        <v>13969.697870885509</v>
      </c>
      <c r="T24" s="105">
        <f>EdSpend!H32</f>
        <v>14458.637296366502</v>
      </c>
      <c r="U24" s="105">
        <f>EdSpend!H34</f>
        <v>14964.68960173933</v>
      </c>
      <c r="V24" s="105">
        <f>EdSpend!H36</f>
        <v>15488.453737800206</v>
      </c>
      <c r="W24" s="105">
        <f>EdSpend!H38</f>
        <v>16030.549618623214</v>
      </c>
      <c r="X24" s="105">
        <f>EdSpend!H40</f>
        <v>16591.618855275028</v>
      </c>
      <c r="Y24" s="105">
        <f>EdSpend!H42</f>
        <v>17172.325515209654</v>
      </c>
      <c r="Z24" s="105">
        <f>EdSpend!H44</f>
        <v>17773.356908241993</v>
      </c>
      <c r="AA24" s="105">
        <f>EdSpend!H46</f>
        <v>18395.424400030461</v>
      </c>
      <c r="AB24" s="105">
        <f>EdSpend!H48</f>
        <v>19039.264254031528</v>
      </c>
      <c r="AC24" s="105">
        <f>EdSpend!H50</f>
        <v>19705.638502922633</v>
      </c>
      <c r="AD24" s="105">
        <f>EdSpend!H52</f>
        <v>20395.335850524927</v>
      </c>
      <c r="AE24" s="105">
        <f>EdSpend!H54</f>
        <v>21109.172605293301</v>
      </c>
      <c r="AF24" s="105">
        <f>EdSpend!H56</f>
        <v>21847.993646478568</v>
      </c>
      <c r="AG24" s="105">
        <f>EdSpend!H58</f>
        <v>22612.673424105316</v>
      </c>
      <c r="AH24" s="105">
        <f>EdSpend!H60</f>
        <v>23404.116993949003</v>
      </c>
      <c r="AI24" s="105">
        <f>EdSpend!H62</f>
        <v>24223.261088737218</v>
      </c>
      <c r="AJ24" s="105">
        <f>EdSpend!H64</f>
        <v>25071.075226843019</v>
      </c>
      <c r="AK24" s="105">
        <f>EdSpend!H66</f>
        <v>25948.562859782523</v>
      </c>
      <c r="AL24" s="79">
        <f>EdSpend!H68</f>
        <v>26856.762559874911</v>
      </c>
      <c r="AM24" s="79">
        <f>EdSpend!H70</f>
        <v>27796.749249470533</v>
      </c>
      <c r="AN24" s="79">
        <f>EdSpend!H72</f>
        <v>28769.635473202001</v>
      </c>
      <c r="AO24" s="79">
        <f>EdSpend!H74</f>
        <v>29776.572714764072</v>
      </c>
      <c r="AP24" s="79">
        <f>EdSpend!H76</f>
        <v>30818.752759780815</v>
      </c>
      <c r="AQ24" s="79">
        <f>EdSpend!H78</f>
        <v>31897.409106373143</v>
      </c>
    </row>
    <row r="25" spans="2:43" x14ac:dyDescent="0.35">
      <c r="B25" t="s">
        <v>150</v>
      </c>
      <c r="E25" s="79">
        <v>10300</v>
      </c>
      <c r="G25" s="80">
        <f>E25</f>
        <v>10300</v>
      </c>
      <c r="H25" s="80"/>
      <c r="I25" s="105">
        <f>EdSpend!K10</f>
        <v>10300</v>
      </c>
      <c r="J25" s="105">
        <f>EdSpend!K12</f>
        <v>10300</v>
      </c>
      <c r="K25" s="105">
        <f>EdSpend!K14</f>
        <v>10660.5</v>
      </c>
      <c r="L25" s="105">
        <f>EdSpend!K16</f>
        <v>11033.6175</v>
      </c>
      <c r="M25" s="105">
        <f>EdSpend!K18</f>
        <v>11419.7941125</v>
      </c>
      <c r="N25" s="105">
        <f>EdSpend!K20</f>
        <v>11819.4869064375</v>
      </c>
      <c r="O25" s="105">
        <f>EdSpend!K22</f>
        <v>12233.168948162813</v>
      </c>
      <c r="P25" s="105">
        <f>EdSpend!K24</f>
        <v>12661.329861348511</v>
      </c>
      <c r="Q25" s="105">
        <f>EdSpend!K26</f>
        <v>13104.476406495709</v>
      </c>
      <c r="R25" s="105">
        <f>EdSpend!K28</f>
        <v>13563.133080723059</v>
      </c>
      <c r="S25" s="105">
        <f>EdSpend!K30</f>
        <v>14037.842738548366</v>
      </c>
      <c r="T25" s="105">
        <f>EdSpend!K32</f>
        <v>14529.167234397559</v>
      </c>
      <c r="U25" s="105">
        <f>EdSpend!K34</f>
        <v>15037.688087601473</v>
      </c>
      <c r="V25" s="105">
        <f>EdSpend!K36</f>
        <v>15564.007170667524</v>
      </c>
      <c r="W25" s="105">
        <f>EdSpend!K38</f>
        <v>16108.747421640888</v>
      </c>
      <c r="X25" s="105">
        <f>EdSpend!K40</f>
        <v>16672.553581398319</v>
      </c>
      <c r="Y25" s="105">
        <f>EdSpend!K42</f>
        <v>17256.092956747259</v>
      </c>
      <c r="Z25" s="105">
        <f>EdSpend!K44</f>
        <v>17860.056210233415</v>
      </c>
      <c r="AA25" s="105">
        <f>EdSpend!K46</f>
        <v>18485.158177591584</v>
      </c>
      <c r="AB25" s="105">
        <f>EdSpend!K48</f>
        <v>19132.13871380729</v>
      </c>
      <c r="AC25" s="105">
        <f>EdSpend!K50</f>
        <v>19801.763568790546</v>
      </c>
      <c r="AD25" s="105">
        <f>EdSpend!K52</f>
        <v>20494.825293698213</v>
      </c>
      <c r="AE25" s="105">
        <f>EdSpend!K54</f>
        <v>21212.144178977651</v>
      </c>
      <c r="AF25" s="105">
        <f>EdSpend!K56</f>
        <v>21954.56922524187</v>
      </c>
      <c r="AG25" s="105">
        <f>EdSpend!K58</f>
        <v>22722.979148125334</v>
      </c>
      <c r="AH25" s="105">
        <f>EdSpend!K60</f>
        <v>23518.283418309722</v>
      </c>
      <c r="AI25" s="105">
        <f>EdSpend!K62</f>
        <v>24341.423337950564</v>
      </c>
      <c r="AJ25" s="105">
        <f>EdSpend!K64</f>
        <v>25193.373154778834</v>
      </c>
      <c r="AK25" s="105">
        <f>EdSpend!K66</f>
        <v>26075.141215196094</v>
      </c>
      <c r="AL25" s="105">
        <f>EdSpend!K68</f>
        <v>26987.771157727959</v>
      </c>
      <c r="AM25" s="105">
        <f>EdSpend!K70</f>
        <v>27932.343148248438</v>
      </c>
      <c r="AN25" s="105">
        <f>EdSpend!K72</f>
        <v>28909.975158437133</v>
      </c>
      <c r="AO25" s="105">
        <f>EdSpend!K74</f>
        <v>29921.824288982432</v>
      </c>
      <c r="AP25" s="105">
        <f>EdSpend!K76</f>
        <v>30969.088139096817</v>
      </c>
      <c r="AQ25" s="105">
        <f>EdSpend!K78</f>
        <v>32053.006223965207</v>
      </c>
    </row>
    <row r="26" spans="2:43" x14ac:dyDescent="0.35">
      <c r="B26" t="s">
        <v>212</v>
      </c>
      <c r="E26" s="81">
        <f>E21/E24</f>
        <v>1.3848403422112578</v>
      </c>
      <c r="G26" s="80">
        <f t="shared" si="1"/>
        <v>1.3848403422112578</v>
      </c>
      <c r="H26" s="80"/>
      <c r="I26" s="81">
        <f>I21/I24</f>
        <v>1.5222996272224472</v>
      </c>
      <c r="J26" s="198">
        <f>J21/J24</f>
        <v>1.6196245480577491</v>
      </c>
      <c r="K26" s="198">
        <f>K21/K24</f>
        <v>1.630897706605829</v>
      </c>
      <c r="L26" s="198">
        <f xml:space="preserve"> BaseEnroll!I20</f>
        <v>1.6640715324738398</v>
      </c>
      <c r="M26" s="198">
        <f xml:space="preserve"> BaseEnroll!J20</f>
        <v>1.7137606967066137</v>
      </c>
      <c r="N26" s="198">
        <f xml:space="preserve"> BaseEnroll!K20</f>
        <v>1.7214018869402401</v>
      </c>
      <c r="O26" s="81">
        <f xml:space="preserve"> BaseEnroll!L20</f>
        <v>1.7214018869402401</v>
      </c>
      <c r="P26" s="81">
        <f xml:space="preserve"> BaseEnroll!M20</f>
        <v>1.7214018869402403</v>
      </c>
      <c r="Q26" s="81">
        <f xml:space="preserve"> BaseEnroll!N20</f>
        <v>1.7214018869402401</v>
      </c>
      <c r="R26" s="81">
        <f xml:space="preserve"> BaseEnroll!O20</f>
        <v>1.7214018869402405</v>
      </c>
      <c r="S26" s="81">
        <f xml:space="preserve"> BaseEnroll!P20</f>
        <v>1.7214018869402403</v>
      </c>
      <c r="T26" s="81">
        <f xml:space="preserve"> BaseEnroll!Q20</f>
        <v>1.7214018869402401</v>
      </c>
      <c r="U26" s="81">
        <f xml:space="preserve"> BaseEnroll!R20</f>
        <v>1.7214018869402401</v>
      </c>
      <c r="V26" s="81">
        <f xml:space="preserve"> BaseEnroll!S20</f>
        <v>1.7214018869402401</v>
      </c>
      <c r="W26" s="81">
        <f xml:space="preserve"> BaseEnroll!T20</f>
        <v>1.7214018869402399</v>
      </c>
      <c r="X26" s="81">
        <f xml:space="preserve"> BaseEnroll!U20</f>
        <v>1.7214018869402397</v>
      </c>
      <c r="Y26" s="81">
        <f xml:space="preserve"> BaseEnroll!V20</f>
        <v>1.7214018869402397</v>
      </c>
      <c r="Z26" s="81">
        <f xml:space="preserve"> BaseEnroll!W20</f>
        <v>1.7214018869402394</v>
      </c>
      <c r="AA26" s="81">
        <f xml:space="preserve"> BaseEnroll!X20</f>
        <v>1.7214018869402397</v>
      </c>
      <c r="AB26" s="81">
        <f xml:space="preserve"> BaseEnroll!Y20</f>
        <v>1.7214018869402397</v>
      </c>
      <c r="AC26" s="81">
        <f xml:space="preserve"> BaseEnroll!Z20</f>
        <v>1.7214018869402394</v>
      </c>
      <c r="AD26" s="81">
        <f xml:space="preserve"> BaseEnroll!AA20</f>
        <v>1.7214018869402392</v>
      </c>
      <c r="AE26" s="81">
        <f xml:space="preserve"> BaseEnroll!AB20</f>
        <v>1.7214018869402392</v>
      </c>
      <c r="AF26" s="81">
        <f xml:space="preserve"> BaseEnroll!AC20</f>
        <v>1.7214018869402392</v>
      </c>
      <c r="AG26" s="81">
        <f xml:space="preserve"> BaseEnroll!AD20</f>
        <v>1.721401886940239</v>
      </c>
      <c r="AH26" s="81">
        <f xml:space="preserve"> BaseEnroll!AE20</f>
        <v>1.7214018869402392</v>
      </c>
      <c r="AI26" s="81">
        <f xml:space="preserve"> BaseEnroll!AF20</f>
        <v>1.7214018869402392</v>
      </c>
      <c r="AJ26" s="81">
        <f xml:space="preserve"> BaseEnroll!AG20</f>
        <v>1.7214018869402392</v>
      </c>
      <c r="AK26" s="81">
        <f xml:space="preserve"> BaseEnroll!AH20</f>
        <v>1.7214018869402394</v>
      </c>
      <c r="AL26" s="81">
        <f xml:space="preserve"> BaseEnroll!AI20</f>
        <v>1.7214018869402392</v>
      </c>
      <c r="AM26" s="81">
        <f xml:space="preserve"> BaseEnroll!AJ20</f>
        <v>1.7214018869402394</v>
      </c>
      <c r="AN26" s="81">
        <f xml:space="preserve"> BaseEnroll!AK20</f>
        <v>1.7214018869402394</v>
      </c>
      <c r="AO26" s="81">
        <f xml:space="preserve"> BaseEnroll!AL20</f>
        <v>1.7214018869402392</v>
      </c>
      <c r="AP26" s="81">
        <f xml:space="preserve"> BaseEnroll!AM20</f>
        <v>1.7214018869402394</v>
      </c>
      <c r="AQ26" s="81">
        <f xml:space="preserve"> BaseEnroll!AN20</f>
        <v>1.7214018869402392</v>
      </c>
    </row>
    <row r="27" spans="2:43" x14ac:dyDescent="0.35">
      <c r="B27" t="s">
        <v>157</v>
      </c>
      <c r="E27" s="81">
        <f>E22/E24</f>
        <v>1.3848403422112578</v>
      </c>
      <c r="G27" s="134">
        <f>G22/G24</f>
        <v>1.3848403422112578</v>
      </c>
      <c r="H27" s="80">
        <v>1.5580219453228754</v>
      </c>
      <c r="I27" s="81">
        <f t="shared" ref="I27:AL27" si="6">I22/I24</f>
        <v>1.5222996272224472</v>
      </c>
      <c r="J27" s="198">
        <f t="shared" si="6"/>
        <v>1.6196245480577491</v>
      </c>
      <c r="K27" s="198">
        <f t="shared" ref="K27:N27" si="7">K22/K24</f>
        <v>1.630897706605829</v>
      </c>
      <c r="L27" s="198">
        <f t="shared" si="7"/>
        <v>1.6640715324738398</v>
      </c>
      <c r="M27" s="198">
        <f t="shared" si="7"/>
        <v>1.9887552043661256</v>
      </c>
      <c r="N27" s="198">
        <f t="shared" si="7"/>
        <v>1.9964728334209159</v>
      </c>
      <c r="O27" s="81">
        <f t="shared" si="6"/>
        <v>1.9962296323303192</v>
      </c>
      <c r="P27" s="81">
        <f t="shared" si="6"/>
        <v>1.9956883220745842</v>
      </c>
      <c r="Q27" s="81">
        <f t="shared" si="6"/>
        <v>1.9948693427389872</v>
      </c>
      <c r="R27" s="81">
        <f t="shared" si="6"/>
        <v>2.0019783383466478</v>
      </c>
      <c r="S27" s="81">
        <f t="shared" si="6"/>
        <v>1.987955310415968</v>
      </c>
      <c r="T27" s="81">
        <f t="shared" si="6"/>
        <v>1.9745598464616751</v>
      </c>
      <c r="U27" s="81">
        <f t="shared" si="6"/>
        <v>1.9617655385854524</v>
      </c>
      <c r="V27" s="81">
        <f t="shared" si="6"/>
        <v>1.9495470472792487</v>
      </c>
      <c r="W27" s="81">
        <f t="shared" si="6"/>
        <v>1.9378800593657672</v>
      </c>
      <c r="X27" s="81">
        <f t="shared" si="6"/>
        <v>1.9267412475618018</v>
      </c>
      <c r="Y27" s="81">
        <f t="shared" si="6"/>
        <v>1.916108231602758</v>
      </c>
      <c r="Z27" s="81">
        <f t="shared" si="6"/>
        <v>1.905959540869014</v>
      </c>
      <c r="AA27" s="81">
        <f t="shared" si="6"/>
        <v>1.8962745784570021</v>
      </c>
      <c r="AB27" s="81">
        <f t="shared" si="6"/>
        <v>1.8870335866400456</v>
      </c>
      <c r="AC27" s="81">
        <f t="shared" si="6"/>
        <v>1.8782176136660302</v>
      </c>
      <c r="AD27" s="81">
        <f t="shared" si="6"/>
        <v>1.8698084818410132</v>
      </c>
      <c r="AE27" s="81">
        <f t="shared" si="6"/>
        <v>1.8617887568497455</v>
      </c>
      <c r="AF27" s="81">
        <f t="shared" si="6"/>
        <v>1.8541417182659683</v>
      </c>
      <c r="AG27" s="81">
        <f t="shared" si="6"/>
        <v>1.846851331207086</v>
      </c>
      <c r="AH27" s="81">
        <f t="shared" si="6"/>
        <v>1.8399022190895487</v>
      </c>
      <c r="AI27" s="81">
        <f t="shared" si="6"/>
        <v>1.8332796374429099</v>
      </c>
      <c r="AJ27" s="81">
        <f t="shared" si="6"/>
        <v>1.8269694487421193</v>
      </c>
      <c r="AK27" s="81">
        <f t="shared" si="6"/>
        <v>1.820958098219122</v>
      </c>
      <c r="AL27" s="81">
        <f t="shared" si="6"/>
        <v>1.8152325906163178</v>
      </c>
      <c r="AM27" s="81">
        <f t="shared" ref="AM27:AQ27" si="8">AM22/AM24</f>
        <v>1.809780467845838</v>
      </c>
      <c r="AN27" s="81">
        <f t="shared" si="8"/>
        <v>1.8045897875199592</v>
      </c>
      <c r="AO27" s="81">
        <f t="shared" si="8"/>
        <v>1.799649102319288</v>
      </c>
      <c r="AP27" s="81">
        <f t="shared" si="8"/>
        <v>1.7949474401666028</v>
      </c>
      <c r="AQ27" s="81">
        <f t="shared" si="8"/>
        <v>1.7904742851754591</v>
      </c>
    </row>
    <row r="28" spans="2:43" x14ac:dyDescent="0.35">
      <c r="B28" t="s">
        <v>213</v>
      </c>
      <c r="E28" s="81">
        <f>E23/E24</f>
        <v>1.3848403422112578</v>
      </c>
      <c r="G28" s="134"/>
      <c r="H28" s="80">
        <v>1.5580219453228754</v>
      </c>
      <c r="I28" s="81">
        <f t="shared" ref="I28:N28" si="9">I23/I24</f>
        <v>1.5222996272224472</v>
      </c>
      <c r="J28" s="198">
        <f t="shared" si="9"/>
        <v>1.6196245480577491</v>
      </c>
      <c r="K28" s="198">
        <f t="shared" si="9"/>
        <v>1.630897706605829</v>
      </c>
      <c r="L28" s="198">
        <f t="shared" si="9"/>
        <v>1.8083660183058374</v>
      </c>
      <c r="M28" s="198">
        <f t="shared" si="9"/>
        <v>1.8271152983769683</v>
      </c>
      <c r="N28" s="198">
        <f t="shared" si="9"/>
        <v>1.8793149163585374</v>
      </c>
      <c r="O28" s="81">
        <f t="shared" ref="O28:AQ28" si="10">O23/O24</f>
        <v>1.8138018620812515</v>
      </c>
      <c r="P28" s="81">
        <f t="shared" si="10"/>
        <v>1.8183511862837896</v>
      </c>
      <c r="Q28" s="81">
        <f t="shared" si="10"/>
        <v>1.8033654848114908</v>
      </c>
      <c r="R28" s="81">
        <f t="shared" si="10"/>
        <v>1.8400027295257382</v>
      </c>
      <c r="S28" s="81">
        <f t="shared" si="10"/>
        <v>1.8020803431054231</v>
      </c>
      <c r="T28" s="81">
        <f t="shared" si="10"/>
        <v>1.8264483659853672</v>
      </c>
      <c r="U28" s="81">
        <f t="shared" si="10"/>
        <v>1.9258501637954675</v>
      </c>
      <c r="V28" s="81">
        <f t="shared" si="10"/>
        <v>1.9171542582105678</v>
      </c>
      <c r="W28" s="81">
        <f t="shared" si="10"/>
        <v>1.9088594609448712</v>
      </c>
      <c r="X28" s="81">
        <f t="shared" si="10"/>
        <v>1.900949266026313</v>
      </c>
      <c r="Y28" s="81">
        <f t="shared" si="10"/>
        <v>1.8934078349660124</v>
      </c>
      <c r="Z28" s="81">
        <f t="shared" si="10"/>
        <v>1.8862199706322855</v>
      </c>
      <c r="AA28" s="81">
        <f t="shared" si="10"/>
        <v>1.8793710921303983</v>
      </c>
      <c r="AB28" s="81">
        <f t="shared" si="10"/>
        <v>1.8728472106499396</v>
      </c>
      <c r="AC28" s="81">
        <f t="shared" si="10"/>
        <v>1.8666349062431362</v>
      </c>
      <c r="AD28" s="81">
        <f t="shared" si="10"/>
        <v>1.8607213054987859</v>
      </c>
      <c r="AE28" s="81">
        <f t="shared" si="10"/>
        <v>1.8550940600778349</v>
      </c>
      <c r="AF28" s="81">
        <f t="shared" si="10"/>
        <v>1.8497413260778772</v>
      </c>
      <c r="AG28" s="81">
        <f t="shared" si="10"/>
        <v>1.8446517441950951</v>
      </c>
      <c r="AH28" s="81">
        <f t="shared" si="10"/>
        <v>1.8398144206533409</v>
      </c>
      <c r="AI28" s="81">
        <f t="shared" si="10"/>
        <v>1.8352189088711846</v>
      </c>
      <c r="AJ28" s="81">
        <f t="shared" si="10"/>
        <v>1.8308551918388754</v>
      </c>
      <c r="AK28" s="81">
        <f t="shared" si="10"/>
        <v>1.8267136651781832</v>
      </c>
      <c r="AL28" s="81">
        <f t="shared" si="10"/>
        <v>1.8227851208591384</v>
      </c>
      <c r="AM28" s="81">
        <f t="shared" si="10"/>
        <v>1.8190607315486409</v>
      </c>
      <c r="AN28" s="81">
        <f t="shared" si="10"/>
        <v>1.8155320355668589</v>
      </c>
      <c r="AO28" s="81">
        <f t="shared" si="10"/>
        <v>1.81219092242825</v>
      </c>
      <c r="AP28" s="81">
        <f t="shared" si="10"/>
        <v>1.8090296189449007</v>
      </c>
      <c r="AQ28" s="81">
        <f t="shared" si="10"/>
        <v>1.8060406758707266</v>
      </c>
    </row>
    <row r="29" spans="2:43" x14ac:dyDescent="0.35">
      <c r="B29" s="116" t="s">
        <v>158</v>
      </c>
      <c r="E29" s="136">
        <f>E21/E25*2</f>
        <v>2.7562356325563866</v>
      </c>
      <c r="G29" s="135">
        <f>G21/G25*2</f>
        <v>2.7562356325563866</v>
      </c>
      <c r="H29" s="66"/>
      <c r="I29" s="66">
        <f t="shared" ref="I29:AL29" si="11">I21/I25*2</f>
        <v>3.0201596946043598</v>
      </c>
      <c r="J29" s="66">
        <f t="shared" si="11"/>
        <v>3.2235245859401802</v>
      </c>
      <c r="K29" s="66">
        <f t="shared" si="11"/>
        <v>3.2459614548950966</v>
      </c>
      <c r="L29" s="66">
        <f t="shared" si="11"/>
        <v>3.3119870306518169</v>
      </c>
      <c r="M29" s="66">
        <f t="shared" si="11"/>
        <v>3.4108829400471437</v>
      </c>
      <c r="N29" s="66">
        <f t="shared" si="11"/>
        <v>3.4260911342014486</v>
      </c>
      <c r="O29" s="66">
        <f t="shared" si="11"/>
        <v>3.4260911342014486</v>
      </c>
      <c r="P29" s="66">
        <f t="shared" si="11"/>
        <v>3.4260911342014491</v>
      </c>
      <c r="Q29" s="66">
        <f t="shared" si="11"/>
        <v>3.4260911342014486</v>
      </c>
      <c r="R29" s="66">
        <f t="shared" si="11"/>
        <v>3.4260911342014491</v>
      </c>
      <c r="S29" s="66">
        <f t="shared" si="11"/>
        <v>3.4260911342014491</v>
      </c>
      <c r="T29" s="66">
        <f t="shared" si="11"/>
        <v>3.4260911342014486</v>
      </c>
      <c r="U29" s="66">
        <f t="shared" si="11"/>
        <v>3.4260911342014486</v>
      </c>
      <c r="V29" s="66">
        <f t="shared" si="11"/>
        <v>3.4260911342014486</v>
      </c>
      <c r="W29" s="66">
        <f t="shared" si="11"/>
        <v>3.4260911342014482</v>
      </c>
      <c r="X29" s="66">
        <f t="shared" si="11"/>
        <v>3.4260911342014482</v>
      </c>
      <c r="Y29" s="66">
        <f t="shared" si="11"/>
        <v>3.4260911342014482</v>
      </c>
      <c r="Z29" s="66">
        <f t="shared" si="11"/>
        <v>3.4260911342014477</v>
      </c>
      <c r="AA29" s="66">
        <f t="shared" si="11"/>
        <v>3.4260911342014477</v>
      </c>
      <c r="AB29" s="66">
        <f t="shared" si="11"/>
        <v>3.4260911342014482</v>
      </c>
      <c r="AC29" s="66">
        <f t="shared" si="11"/>
        <v>3.4260911342014477</v>
      </c>
      <c r="AD29" s="66">
        <f t="shared" si="11"/>
        <v>3.4260911342014477</v>
      </c>
      <c r="AE29" s="66">
        <f t="shared" si="11"/>
        <v>3.4260911342014482</v>
      </c>
      <c r="AF29" s="66">
        <f t="shared" si="11"/>
        <v>3.4260911342014482</v>
      </c>
      <c r="AG29" s="66">
        <f t="shared" si="11"/>
        <v>3.4260911342014477</v>
      </c>
      <c r="AH29" s="66">
        <f t="shared" si="11"/>
        <v>3.4260911342014477</v>
      </c>
      <c r="AI29" s="66">
        <f t="shared" si="11"/>
        <v>3.4260911342014477</v>
      </c>
      <c r="AJ29" s="66">
        <f t="shared" si="11"/>
        <v>3.4260911342014473</v>
      </c>
      <c r="AK29" s="66">
        <f t="shared" si="11"/>
        <v>3.4260911342014477</v>
      </c>
      <c r="AL29" s="66">
        <f t="shared" si="11"/>
        <v>3.4260911342014473</v>
      </c>
      <c r="AM29" s="66">
        <f t="shared" ref="AM29:AQ29" si="12">AM21/AM25*2</f>
        <v>3.4260911342014477</v>
      </c>
      <c r="AN29" s="66">
        <f t="shared" si="12"/>
        <v>3.4260911342014473</v>
      </c>
      <c r="AO29" s="66">
        <f t="shared" si="12"/>
        <v>3.4260911342014473</v>
      </c>
      <c r="AP29" s="66">
        <f t="shared" si="12"/>
        <v>3.4260911342014477</v>
      </c>
      <c r="AQ29" s="66">
        <f t="shared" si="12"/>
        <v>3.4260911342014468</v>
      </c>
    </row>
    <row r="30" spans="2:43" x14ac:dyDescent="0.35">
      <c r="B30" s="116" t="s">
        <v>159</v>
      </c>
      <c r="E30" s="136">
        <f>(E21+(E15/E19))/E25*2</f>
        <v>2.7562356325563866</v>
      </c>
      <c r="G30" s="135">
        <f>((((G8/G11)+((G8*G10)))/G19)+G21)/G25*2</f>
        <v>3.5530862838944186</v>
      </c>
      <c r="H30" s="66"/>
      <c r="I30" s="136">
        <f>(I21+(I15/I19))/I25*2</f>
        <v>3.0201596946043598</v>
      </c>
      <c r="J30" s="136">
        <f>(J21+(J15/J19))/J25*2</f>
        <v>3.2235245859401802</v>
      </c>
      <c r="K30" s="136">
        <f>(K21+(K15/K19))/K25*2</f>
        <v>3.2459614548950966</v>
      </c>
      <c r="L30" s="136">
        <f>(L21+(L15/L19))/L25*2</f>
        <v>3.3119870306518169</v>
      </c>
      <c r="M30" s="136">
        <f>(M21+(M15/M19))/M25*2</f>
        <v>3.9582021057772403</v>
      </c>
      <c r="N30" s="136">
        <f t="shared" ref="N30:AQ30" si="13">(N21+(N15/N19))/N25*2</f>
        <v>3.9735624354493959</v>
      </c>
      <c r="O30" s="136">
        <f t="shared" si="13"/>
        <v>3.973078394443839</v>
      </c>
      <c r="P30" s="136">
        <f t="shared" si="13"/>
        <v>3.9720010293717452</v>
      </c>
      <c r="Q30" s="136">
        <f t="shared" si="13"/>
        <v>3.970371021956236</v>
      </c>
      <c r="R30" s="136">
        <f t="shared" si="13"/>
        <v>3.9845199937967259</v>
      </c>
      <c r="S30" s="136">
        <f t="shared" si="13"/>
        <v>3.9566100838376057</v>
      </c>
      <c r="T30" s="136">
        <f t="shared" si="13"/>
        <v>3.9299492089771202</v>
      </c>
      <c r="U30" s="136">
        <f t="shared" si="13"/>
        <v>3.9044848098059974</v>
      </c>
      <c r="V30" s="136">
        <f t="shared" si="13"/>
        <v>3.8801664533227767</v>
      </c>
      <c r="W30" s="136">
        <f t="shared" si="13"/>
        <v>3.8569457492231289</v>
      </c>
      <c r="X30" s="136">
        <f t="shared" si="13"/>
        <v>3.8347762694191205</v>
      </c>
      <c r="Y30" s="136">
        <f t="shared" si="13"/>
        <v>3.8136134706656839</v>
      </c>
      <c r="Z30" s="136">
        <f t="shared" si="13"/>
        <v>3.7934146201761934</v>
      </c>
      <c r="AA30" s="136">
        <f t="shared" si="13"/>
        <v>3.7741387241134512</v>
      </c>
      <c r="AB30" s="136">
        <f t="shared" si="13"/>
        <v>3.7557464588466929</v>
      </c>
      <c r="AC30" s="136">
        <f t="shared" si="13"/>
        <v>3.7382001048692839</v>
      </c>
      <c r="AD30" s="136">
        <f t="shared" si="13"/>
        <v>3.7214634832758042</v>
      </c>
      <c r="AE30" s="136">
        <f t="shared" si="13"/>
        <v>3.705501894700951</v>
      </c>
      <c r="AF30" s="136">
        <f t="shared" si="13"/>
        <v>3.6902820606264433</v>
      </c>
      <c r="AG30" s="136">
        <f t="shared" si="13"/>
        <v>3.6757720669655609</v>
      </c>
      <c r="AH30" s="136">
        <f t="shared" si="13"/>
        <v>3.6619413098384235</v>
      </c>
      <c r="AI30" s="136">
        <f t="shared" si="13"/>
        <v>3.6487604434543361</v>
      </c>
      <c r="AJ30" s="136">
        <f t="shared" si="13"/>
        <v>3.6362013300207234</v>
      </c>
      <c r="AK30" s="136">
        <f t="shared" si="13"/>
        <v>3.6242369916011659</v>
      </c>
      <c r="AL30" s="136">
        <f t="shared" si="13"/>
        <v>3.6128415638480114</v>
      </c>
      <c r="AM30" s="136">
        <f t="shared" si="13"/>
        <v>3.601990251537833</v>
      </c>
      <c r="AN30" s="136">
        <f t="shared" si="13"/>
        <v>3.5916592858406955</v>
      </c>
      <c r="AO30" s="136">
        <f t="shared" si="13"/>
        <v>3.5818258832568355</v>
      </c>
      <c r="AP30" s="136">
        <f t="shared" si="13"/>
        <v>3.5724682061568314</v>
      </c>
      <c r="AQ30" s="136">
        <f t="shared" si="13"/>
        <v>3.5635653248637778</v>
      </c>
    </row>
    <row r="31" spans="2:43" x14ac:dyDescent="0.35">
      <c r="B31" s="116"/>
      <c r="E31" s="136"/>
      <c r="G31" s="135"/>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row>
    <row r="32" spans="2:43" hidden="1" x14ac:dyDescent="0.35">
      <c r="G32" s="45"/>
      <c r="H32" s="45"/>
      <c r="I32" s="106"/>
      <c r="J32" s="106"/>
      <c r="K32" s="106"/>
      <c r="L32" s="106"/>
      <c r="M32" s="106"/>
      <c r="N32" s="106"/>
      <c r="O32" s="106"/>
    </row>
    <row r="33" spans="1:43" hidden="1" x14ac:dyDescent="0.35">
      <c r="A33" s="27" t="s">
        <v>75</v>
      </c>
      <c r="C33" s="43"/>
      <c r="E33" s="41"/>
      <c r="G33" s="84" t="s">
        <v>128</v>
      </c>
      <c r="H33" s="55"/>
      <c r="I33" s="107"/>
      <c r="J33" s="107"/>
      <c r="K33" s="107"/>
      <c r="L33" s="107"/>
      <c r="M33" s="107"/>
      <c r="N33" s="107"/>
      <c r="O33" s="107"/>
      <c r="P33" s="107"/>
      <c r="Q33" s="107"/>
      <c r="R33" s="107"/>
    </row>
    <row r="34" spans="1:43" hidden="1" x14ac:dyDescent="0.35">
      <c r="B34" s="116" t="s">
        <v>71</v>
      </c>
      <c r="G34" s="65">
        <v>1</v>
      </c>
      <c r="H34" s="65"/>
      <c r="I34" s="65">
        <v>1</v>
      </c>
      <c r="J34" s="65">
        <v>1</v>
      </c>
      <c r="K34" s="65">
        <v>1</v>
      </c>
      <c r="L34" s="65">
        <v>1</v>
      </c>
      <c r="M34" s="65">
        <v>1</v>
      </c>
      <c r="N34" s="65">
        <v>1</v>
      </c>
      <c r="O34" s="65">
        <v>1</v>
      </c>
      <c r="P34" s="65">
        <v>1</v>
      </c>
      <c r="Q34" s="65">
        <v>1</v>
      </c>
      <c r="R34" s="65">
        <v>1</v>
      </c>
      <c r="S34" s="65">
        <v>1</v>
      </c>
      <c r="T34" s="65">
        <v>1</v>
      </c>
      <c r="U34" s="65">
        <v>1</v>
      </c>
      <c r="V34" s="65">
        <v>1</v>
      </c>
      <c r="W34" s="65">
        <v>1</v>
      </c>
      <c r="X34" s="65">
        <v>1</v>
      </c>
      <c r="Y34" s="65">
        <v>1</v>
      </c>
      <c r="Z34" s="65">
        <v>1</v>
      </c>
      <c r="AA34" s="65">
        <v>1</v>
      </c>
      <c r="AB34" s="65">
        <v>1</v>
      </c>
      <c r="AC34" s="65">
        <v>1</v>
      </c>
      <c r="AD34" s="65">
        <v>1</v>
      </c>
      <c r="AE34" s="65">
        <v>1</v>
      </c>
      <c r="AF34" s="65">
        <v>1</v>
      </c>
      <c r="AG34" s="65">
        <v>1</v>
      </c>
      <c r="AH34" s="65">
        <v>1</v>
      </c>
      <c r="AI34" s="65">
        <v>1</v>
      </c>
      <c r="AJ34" s="65">
        <v>1</v>
      </c>
      <c r="AK34" s="65">
        <v>1</v>
      </c>
      <c r="AL34" s="65">
        <v>1</v>
      </c>
      <c r="AM34" s="65">
        <v>1</v>
      </c>
      <c r="AN34" s="65">
        <v>1</v>
      </c>
      <c r="AO34" s="65">
        <v>1</v>
      </c>
      <c r="AP34" s="65">
        <v>1</v>
      </c>
      <c r="AQ34" s="65">
        <v>1</v>
      </c>
    </row>
    <row r="35" spans="1:43" hidden="1" x14ac:dyDescent="0.35">
      <c r="B35" s="116" t="s">
        <v>164</v>
      </c>
      <c r="E35" s="137"/>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row>
    <row r="36" spans="1:43" hidden="1" x14ac:dyDescent="0.35">
      <c r="B36" s="116" t="s">
        <v>163</v>
      </c>
      <c r="E36" s="137"/>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row>
    <row r="37" spans="1:43" hidden="1" x14ac:dyDescent="0.35">
      <c r="B37" s="116" t="s">
        <v>165</v>
      </c>
      <c r="E37" s="137"/>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row>
    <row r="38" spans="1:43" hidden="1" x14ac:dyDescent="0.35">
      <c r="B38" s="116" t="s">
        <v>166</v>
      </c>
      <c r="E38" s="137"/>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row>
    <row r="39" spans="1:43" hidden="1" x14ac:dyDescent="0.35">
      <c r="B39" s="116" t="s">
        <v>167</v>
      </c>
      <c r="E39" s="137"/>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row>
    <row r="40" spans="1:43" hidden="1" x14ac:dyDescent="0.35">
      <c r="B40" s="116" t="s">
        <v>168</v>
      </c>
      <c r="E40" s="137"/>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row>
    <row r="41" spans="1:43" hidden="1" x14ac:dyDescent="0.35">
      <c r="B41" s="116" t="s">
        <v>169</v>
      </c>
      <c r="E41" s="137"/>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row>
    <row r="42" spans="1:43" hidden="1" x14ac:dyDescent="0.35">
      <c r="B42" s="116" t="s">
        <v>154</v>
      </c>
      <c r="G42" s="66">
        <f>G26/G34</f>
        <v>1.3848403422112578</v>
      </c>
      <c r="H42" s="66"/>
      <c r="I42" s="66">
        <f t="shared" ref="I42:AL42" si="14">I26/I34</f>
        <v>1.5222996272224472</v>
      </c>
      <c r="J42" s="66">
        <f t="shared" si="14"/>
        <v>1.6196245480577491</v>
      </c>
      <c r="K42" s="66">
        <f t="shared" si="14"/>
        <v>1.630897706605829</v>
      </c>
      <c r="L42" s="66">
        <f t="shared" si="14"/>
        <v>1.6640715324738398</v>
      </c>
      <c r="M42" s="66">
        <f t="shared" si="14"/>
        <v>1.7137606967066137</v>
      </c>
      <c r="N42" s="66">
        <f t="shared" si="14"/>
        <v>1.7214018869402401</v>
      </c>
      <c r="O42" s="66">
        <f t="shared" si="14"/>
        <v>1.7214018869402401</v>
      </c>
      <c r="P42" s="66">
        <f t="shared" si="14"/>
        <v>1.7214018869402403</v>
      </c>
      <c r="Q42" s="66">
        <f t="shared" si="14"/>
        <v>1.7214018869402401</v>
      </c>
      <c r="R42" s="66">
        <f t="shared" si="14"/>
        <v>1.7214018869402405</v>
      </c>
      <c r="S42" s="66">
        <f t="shared" si="14"/>
        <v>1.7214018869402403</v>
      </c>
      <c r="T42" s="66">
        <f t="shared" si="14"/>
        <v>1.7214018869402401</v>
      </c>
      <c r="U42" s="66">
        <f t="shared" si="14"/>
        <v>1.7214018869402401</v>
      </c>
      <c r="V42" s="66">
        <f t="shared" si="14"/>
        <v>1.7214018869402401</v>
      </c>
      <c r="W42" s="66">
        <f t="shared" si="14"/>
        <v>1.7214018869402399</v>
      </c>
      <c r="X42" s="66">
        <f t="shared" si="14"/>
        <v>1.7214018869402397</v>
      </c>
      <c r="Y42" s="66">
        <f t="shared" si="14"/>
        <v>1.7214018869402397</v>
      </c>
      <c r="Z42" s="66">
        <f t="shared" si="14"/>
        <v>1.7214018869402394</v>
      </c>
      <c r="AA42" s="66">
        <f t="shared" si="14"/>
        <v>1.7214018869402397</v>
      </c>
      <c r="AB42" s="66">
        <f t="shared" si="14"/>
        <v>1.7214018869402397</v>
      </c>
      <c r="AC42" s="66">
        <f t="shared" si="14"/>
        <v>1.7214018869402394</v>
      </c>
      <c r="AD42" s="66">
        <f t="shared" si="14"/>
        <v>1.7214018869402392</v>
      </c>
      <c r="AE42" s="66">
        <f t="shared" si="14"/>
        <v>1.7214018869402392</v>
      </c>
      <c r="AF42" s="66">
        <f t="shared" si="14"/>
        <v>1.7214018869402392</v>
      </c>
      <c r="AG42" s="66">
        <f t="shared" si="14"/>
        <v>1.721401886940239</v>
      </c>
      <c r="AH42" s="66">
        <f t="shared" si="14"/>
        <v>1.7214018869402392</v>
      </c>
      <c r="AI42" s="66">
        <f t="shared" si="14"/>
        <v>1.7214018869402392</v>
      </c>
      <c r="AJ42" s="66">
        <f t="shared" si="14"/>
        <v>1.7214018869402392</v>
      </c>
      <c r="AK42" s="66">
        <f t="shared" si="14"/>
        <v>1.7214018869402394</v>
      </c>
      <c r="AL42" s="66">
        <f t="shared" si="14"/>
        <v>1.7214018869402392</v>
      </c>
      <c r="AM42" s="66">
        <f t="shared" ref="AM42:AQ42" si="15">AM26/AM34</f>
        <v>1.7214018869402394</v>
      </c>
      <c r="AN42" s="66">
        <f t="shared" si="15"/>
        <v>1.7214018869402394</v>
      </c>
      <c r="AO42" s="66">
        <f t="shared" si="15"/>
        <v>1.7214018869402392</v>
      </c>
      <c r="AP42" s="66">
        <f t="shared" si="15"/>
        <v>1.7214018869402394</v>
      </c>
      <c r="AQ42" s="66">
        <f t="shared" si="15"/>
        <v>1.7214018869402392</v>
      </c>
    </row>
    <row r="43" spans="1:43" hidden="1" x14ac:dyDescent="0.35">
      <c r="B43" s="116" t="s">
        <v>155</v>
      </c>
      <c r="G43" s="66">
        <f>G27/G34</f>
        <v>1.3848403422112578</v>
      </c>
      <c r="H43" s="66"/>
      <c r="I43" s="66">
        <f t="shared" ref="I43:AL43" si="16">I27/I34</f>
        <v>1.5222996272224472</v>
      </c>
      <c r="J43" s="66">
        <f t="shared" si="16"/>
        <v>1.6196245480577491</v>
      </c>
      <c r="K43" s="66">
        <f t="shared" si="16"/>
        <v>1.630897706605829</v>
      </c>
      <c r="L43" s="66">
        <f t="shared" si="16"/>
        <v>1.6640715324738398</v>
      </c>
      <c r="M43" s="66">
        <f t="shared" si="16"/>
        <v>1.9887552043661256</v>
      </c>
      <c r="N43" s="66">
        <f t="shared" si="16"/>
        <v>1.9964728334209159</v>
      </c>
      <c r="O43" s="66">
        <f t="shared" si="16"/>
        <v>1.9962296323303192</v>
      </c>
      <c r="P43" s="66">
        <f t="shared" si="16"/>
        <v>1.9956883220745842</v>
      </c>
      <c r="Q43" s="66">
        <f t="shared" si="16"/>
        <v>1.9948693427389872</v>
      </c>
      <c r="R43" s="66">
        <f t="shared" si="16"/>
        <v>2.0019783383466478</v>
      </c>
      <c r="S43" s="66">
        <f t="shared" si="16"/>
        <v>1.987955310415968</v>
      </c>
      <c r="T43" s="66">
        <f t="shared" si="16"/>
        <v>1.9745598464616751</v>
      </c>
      <c r="U43" s="66">
        <f t="shared" si="16"/>
        <v>1.9617655385854524</v>
      </c>
      <c r="V43" s="66">
        <f t="shared" si="16"/>
        <v>1.9495470472792487</v>
      </c>
      <c r="W43" s="66">
        <f t="shared" si="16"/>
        <v>1.9378800593657672</v>
      </c>
      <c r="X43" s="66">
        <f t="shared" si="16"/>
        <v>1.9267412475618018</v>
      </c>
      <c r="Y43" s="66">
        <f t="shared" si="16"/>
        <v>1.916108231602758</v>
      </c>
      <c r="Z43" s="66">
        <f t="shared" si="16"/>
        <v>1.905959540869014</v>
      </c>
      <c r="AA43" s="66">
        <f t="shared" si="16"/>
        <v>1.8962745784570021</v>
      </c>
      <c r="AB43" s="66">
        <f t="shared" si="16"/>
        <v>1.8870335866400456</v>
      </c>
      <c r="AC43" s="66">
        <f t="shared" si="16"/>
        <v>1.8782176136660302</v>
      </c>
      <c r="AD43" s="66">
        <f t="shared" si="16"/>
        <v>1.8698084818410132</v>
      </c>
      <c r="AE43" s="66">
        <f t="shared" si="16"/>
        <v>1.8617887568497455</v>
      </c>
      <c r="AF43" s="66">
        <f t="shared" si="16"/>
        <v>1.8541417182659683</v>
      </c>
      <c r="AG43" s="66">
        <f t="shared" si="16"/>
        <v>1.846851331207086</v>
      </c>
      <c r="AH43" s="66">
        <f t="shared" si="16"/>
        <v>1.8399022190895487</v>
      </c>
      <c r="AI43" s="66">
        <f t="shared" si="16"/>
        <v>1.8332796374429099</v>
      </c>
      <c r="AJ43" s="66">
        <f t="shared" si="16"/>
        <v>1.8269694487421193</v>
      </c>
      <c r="AK43" s="66">
        <f t="shared" si="16"/>
        <v>1.820958098219122</v>
      </c>
      <c r="AL43" s="66">
        <f t="shared" si="16"/>
        <v>1.8152325906163178</v>
      </c>
      <c r="AM43" s="66">
        <f t="shared" ref="AM43:AQ43" si="17">AM27/AM34</f>
        <v>1.809780467845838</v>
      </c>
      <c r="AN43" s="66">
        <f t="shared" si="17"/>
        <v>1.8045897875199592</v>
      </c>
      <c r="AO43" s="66">
        <f t="shared" si="17"/>
        <v>1.799649102319288</v>
      </c>
      <c r="AP43" s="66">
        <f t="shared" si="17"/>
        <v>1.7949474401666028</v>
      </c>
      <c r="AQ43" s="66">
        <f t="shared" si="17"/>
        <v>1.7904742851754591</v>
      </c>
    </row>
    <row r="44" spans="1:43" hidden="1" x14ac:dyDescent="0.35">
      <c r="B44" s="116" t="s">
        <v>170</v>
      </c>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row>
    <row r="45" spans="1:43" hidden="1" x14ac:dyDescent="0.35">
      <c r="B45" s="116" t="s">
        <v>171</v>
      </c>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1:43" hidden="1" x14ac:dyDescent="0.35">
      <c r="G46" s="56"/>
      <c r="H46" s="56"/>
      <c r="I46" s="108"/>
      <c r="J46" s="108"/>
      <c r="K46" s="108"/>
      <c r="L46" s="108"/>
      <c r="M46" s="108"/>
      <c r="N46" s="108"/>
      <c r="O46" s="108"/>
      <c r="P46" s="108"/>
      <c r="Q46" s="108"/>
      <c r="R46" s="108"/>
    </row>
    <row r="47" spans="1:43" x14ac:dyDescent="0.35">
      <c r="A47" s="42" t="s">
        <v>73</v>
      </c>
      <c r="G47" s="56"/>
      <c r="H47" s="56"/>
      <c r="I47" s="108"/>
      <c r="J47" s="108"/>
      <c r="K47" s="108"/>
      <c r="L47" s="108"/>
      <c r="M47" s="108"/>
      <c r="N47" s="108"/>
      <c r="O47" s="108"/>
      <c r="P47" s="108"/>
      <c r="Q47" s="108"/>
      <c r="R47" s="108"/>
    </row>
    <row r="48" spans="1:43" x14ac:dyDescent="0.35">
      <c r="B48" s="27" t="s">
        <v>64</v>
      </c>
      <c r="E48" s="217">
        <f>'Individual Taxpayer Impact'!F5</f>
        <v>150000</v>
      </c>
      <c r="F48" s="54"/>
      <c r="G48" s="57">
        <f>E48</f>
        <v>150000</v>
      </c>
      <c r="H48" s="57"/>
      <c r="I48" s="109">
        <f>'Home Value'!G11</f>
        <v>150000</v>
      </c>
      <c r="J48" s="109">
        <f>'Home Value'!G13</f>
        <v>150000</v>
      </c>
      <c r="K48" s="109">
        <f>'Home Value'!G15</f>
        <v>150000</v>
      </c>
      <c r="L48" s="109">
        <f>'Home Value'!G17</f>
        <v>150000</v>
      </c>
      <c r="M48" s="109">
        <f>'Home Value'!G19</f>
        <v>150000</v>
      </c>
      <c r="N48" s="109">
        <f>'Home Value'!G21</f>
        <v>150000</v>
      </c>
      <c r="O48" s="109">
        <f>'Home Value'!G23</f>
        <v>150000</v>
      </c>
      <c r="P48" s="109">
        <f>'Home Value'!G25</f>
        <v>150000</v>
      </c>
      <c r="Q48" s="109">
        <f>'Home Value'!G27</f>
        <v>150000</v>
      </c>
      <c r="R48" s="109">
        <f>'Home Value'!G29</f>
        <v>150000</v>
      </c>
      <c r="S48" s="109">
        <f>'Home Value'!G31</f>
        <v>150000</v>
      </c>
      <c r="T48" s="109">
        <f>'Home Value'!G33</f>
        <v>150000</v>
      </c>
      <c r="U48" s="109">
        <f>'Home Value'!G35</f>
        <v>150000</v>
      </c>
      <c r="V48" s="109">
        <f>'Home Value'!G37</f>
        <v>150000</v>
      </c>
      <c r="W48" s="109">
        <f>'Home Value'!G39</f>
        <v>150000</v>
      </c>
      <c r="X48" s="109">
        <f>'Home Value'!G41</f>
        <v>150000</v>
      </c>
      <c r="Y48" s="109">
        <f>'Home Value'!G43</f>
        <v>150000</v>
      </c>
      <c r="Z48" s="109">
        <f>'Home Value'!G45</f>
        <v>150000</v>
      </c>
      <c r="AA48" s="109">
        <f>'Home Value'!G47</f>
        <v>150000</v>
      </c>
      <c r="AB48" s="109">
        <f>'Home Value'!G49</f>
        <v>150000</v>
      </c>
      <c r="AC48" s="109">
        <f>'Home Value'!G51</f>
        <v>150000</v>
      </c>
      <c r="AD48" s="109">
        <f>'Home Value'!G53</f>
        <v>150000</v>
      </c>
      <c r="AE48" s="109">
        <f>'Home Value'!G55</f>
        <v>150000</v>
      </c>
      <c r="AF48" s="109">
        <f>'Home Value'!G57</f>
        <v>150000</v>
      </c>
      <c r="AG48" s="109">
        <f>'Home Value'!G59</f>
        <v>150000</v>
      </c>
      <c r="AH48" s="109">
        <f>'Home Value'!G61</f>
        <v>150000</v>
      </c>
      <c r="AI48" s="109">
        <f>'Home Value'!G63</f>
        <v>150000</v>
      </c>
      <c r="AJ48" s="109">
        <f>'Home Value'!G65</f>
        <v>150000</v>
      </c>
      <c r="AK48" s="109">
        <f>'Home Value'!G67</f>
        <v>150000</v>
      </c>
      <c r="AL48" s="109">
        <f>'Home Value'!G69</f>
        <v>150000</v>
      </c>
      <c r="AM48" s="109">
        <f>'Home Value'!G71</f>
        <v>150000</v>
      </c>
      <c r="AN48" s="109">
        <f>'Home Value'!G73</f>
        <v>150000</v>
      </c>
      <c r="AO48" s="109">
        <f>'Home Value'!G75</f>
        <v>150000</v>
      </c>
      <c r="AP48" s="109">
        <f>'Home Value'!G77</f>
        <v>150000</v>
      </c>
      <c r="AQ48" s="109">
        <f>'Home Value'!G79</f>
        <v>150000</v>
      </c>
    </row>
    <row r="49" spans="1:43" x14ac:dyDescent="0.35">
      <c r="B49" s="27" t="s">
        <v>65</v>
      </c>
      <c r="E49" s="217">
        <f>'Individual Taxpayer Impact'!F4</f>
        <v>549882.16810683429</v>
      </c>
      <c r="F49" s="54"/>
      <c r="G49" s="57">
        <f>E49</f>
        <v>549882.16810683429</v>
      </c>
      <c r="H49" s="57"/>
      <c r="I49" s="109">
        <f>'Home Value'!E11</f>
        <v>549882.16810683429</v>
      </c>
      <c r="J49" s="109">
        <f>'Home Value'!E13</f>
        <v>549882.16810683429</v>
      </c>
      <c r="K49" s="109">
        <f>'Home Value'!E15</f>
        <v>549882.16810683429</v>
      </c>
      <c r="L49" s="109">
        <f>'Home Value'!E17</f>
        <v>549882.16810683429</v>
      </c>
      <c r="M49" s="109">
        <f>'Home Value'!E19</f>
        <v>549882.16810683429</v>
      </c>
      <c r="N49" s="109">
        <f>'Home Value'!E21</f>
        <v>549882.16810683429</v>
      </c>
      <c r="O49" s="109">
        <f>'Home Value'!E23</f>
        <v>549882.16810683429</v>
      </c>
      <c r="P49" s="109">
        <f>'Home Value'!E25</f>
        <v>549882.16810683429</v>
      </c>
      <c r="Q49" s="109">
        <f>'Home Value'!E27</f>
        <v>549882.16810683429</v>
      </c>
      <c r="R49" s="109">
        <f>'Home Value'!E29</f>
        <v>549882.16810683429</v>
      </c>
      <c r="S49" s="109">
        <f>'Home Value'!E31</f>
        <v>549882.16810683429</v>
      </c>
      <c r="T49" s="109">
        <f>'Home Value'!E33</f>
        <v>549882.16810683429</v>
      </c>
      <c r="U49" s="109">
        <f>'Home Value'!E35</f>
        <v>549882.16810683429</v>
      </c>
      <c r="V49" s="109">
        <f>'Home Value'!E37</f>
        <v>549882.16810683429</v>
      </c>
      <c r="W49" s="109">
        <f>'Home Value'!E39</f>
        <v>549882.16810683429</v>
      </c>
      <c r="X49" s="109">
        <f>'Home Value'!E41</f>
        <v>549882.16810683429</v>
      </c>
      <c r="Y49" s="109">
        <f>'Home Value'!E43</f>
        <v>549882.16810683429</v>
      </c>
      <c r="Z49" s="109">
        <f>'Home Value'!E45</f>
        <v>549882.16810683429</v>
      </c>
      <c r="AA49" s="109">
        <f>'Home Value'!E47</f>
        <v>549882.16810683429</v>
      </c>
      <c r="AB49" s="109">
        <f>'Home Value'!E49</f>
        <v>549882.16810683429</v>
      </c>
      <c r="AC49" s="109">
        <f>'Home Value'!E51</f>
        <v>549882.16810683429</v>
      </c>
      <c r="AD49" s="109">
        <f>'Home Value'!E53</f>
        <v>549882.16810683429</v>
      </c>
      <c r="AE49" s="109">
        <f>'Home Value'!E55</f>
        <v>549882.16810683429</v>
      </c>
      <c r="AF49" s="109">
        <f>'Home Value'!E57</f>
        <v>549882.16810683429</v>
      </c>
      <c r="AG49" s="109">
        <f>'Home Value'!E59</f>
        <v>549882.16810683429</v>
      </c>
      <c r="AH49" s="109">
        <f>'Home Value'!E61</f>
        <v>549882.16810683429</v>
      </c>
      <c r="AI49" s="109">
        <f>'Home Value'!E63</f>
        <v>549882.16810683429</v>
      </c>
      <c r="AJ49" s="109">
        <f>'Home Value'!E65</f>
        <v>549882.16810683429</v>
      </c>
      <c r="AK49" s="109">
        <f>'Home Value'!E67</f>
        <v>549882.16810683429</v>
      </c>
      <c r="AL49" s="109">
        <f>'Home Value'!E69</f>
        <v>549882.16810683429</v>
      </c>
      <c r="AM49" s="109">
        <f>'Home Value'!E71</f>
        <v>549882.16810683429</v>
      </c>
      <c r="AN49" s="109">
        <f>'Home Value'!E73</f>
        <v>549882.16810683429</v>
      </c>
      <c r="AO49" s="109">
        <f>'Home Value'!E75</f>
        <v>549882.16810683429</v>
      </c>
      <c r="AP49" s="109">
        <f>'Home Value'!E77</f>
        <v>549882.16810683429</v>
      </c>
      <c r="AQ49" s="109">
        <f>'Home Value'!E79</f>
        <v>549882.16810683429</v>
      </c>
    </row>
    <row r="50" spans="1:43" x14ac:dyDescent="0.35">
      <c r="B50" s="27" t="s">
        <v>146</v>
      </c>
      <c r="E50" s="41"/>
      <c r="G50" s="58">
        <f>IF(G75&gt;0, G110, G63)</f>
        <v>7614.9900985693675</v>
      </c>
      <c r="H50" s="58"/>
      <c r="I50" s="58">
        <f t="shared" ref="I50:AL50" si="18">IF(I75&gt;0, I110, I63)</f>
        <v>8370.8541952530486</v>
      </c>
      <c r="J50" s="58">
        <f t="shared" si="18"/>
        <v>8906.0265800504676</v>
      </c>
      <c r="K50" s="58">
        <f t="shared" si="18"/>
        <v>8968.0156686887694</v>
      </c>
      <c r="L50" s="58">
        <f t="shared" si="18"/>
        <v>9150.4326216157733</v>
      </c>
      <c r="M50" s="58">
        <f t="shared" si="18"/>
        <v>9423.664475213116</v>
      </c>
      <c r="N50" s="58">
        <f t="shared" si="18"/>
        <v>9465.6820177389491</v>
      </c>
      <c r="O50" s="58">
        <f t="shared" si="18"/>
        <v>9465.6820177389491</v>
      </c>
      <c r="P50" s="58">
        <f t="shared" si="18"/>
        <v>9465.6820177389491</v>
      </c>
      <c r="Q50" s="58">
        <f t="shared" si="18"/>
        <v>9465.6820177389491</v>
      </c>
      <c r="R50" s="58">
        <f t="shared" si="18"/>
        <v>9465.6820177389509</v>
      </c>
      <c r="S50" s="58">
        <f t="shared" si="18"/>
        <v>9465.6820177389491</v>
      </c>
      <c r="T50" s="58">
        <f t="shared" si="18"/>
        <v>9465.6820177389491</v>
      </c>
      <c r="U50" s="58">
        <f t="shared" si="18"/>
        <v>9465.6820177389491</v>
      </c>
      <c r="V50" s="58">
        <f t="shared" si="18"/>
        <v>9465.6820177389491</v>
      </c>
      <c r="W50" s="58">
        <f t="shared" si="18"/>
        <v>9465.6820177389473</v>
      </c>
      <c r="X50" s="58">
        <f t="shared" si="18"/>
        <v>9465.6820177389454</v>
      </c>
      <c r="Y50" s="58">
        <f t="shared" si="18"/>
        <v>9465.6820177389454</v>
      </c>
      <c r="Z50" s="58">
        <f t="shared" si="18"/>
        <v>9465.6820177389454</v>
      </c>
      <c r="AA50" s="58">
        <f t="shared" si="18"/>
        <v>9465.6820177389454</v>
      </c>
      <c r="AB50" s="58">
        <f t="shared" si="18"/>
        <v>9465.6820177389454</v>
      </c>
      <c r="AC50" s="58">
        <f t="shared" si="18"/>
        <v>9465.6820177389454</v>
      </c>
      <c r="AD50" s="58">
        <f t="shared" si="18"/>
        <v>9465.6820177389436</v>
      </c>
      <c r="AE50" s="58">
        <f t="shared" si="18"/>
        <v>9465.6820177389436</v>
      </c>
      <c r="AF50" s="58">
        <f t="shared" si="18"/>
        <v>9465.6820177389436</v>
      </c>
      <c r="AG50" s="58">
        <f t="shared" si="18"/>
        <v>9465.6820177389418</v>
      </c>
      <c r="AH50" s="58">
        <f t="shared" si="18"/>
        <v>9465.6820177389436</v>
      </c>
      <c r="AI50" s="58">
        <f t="shared" si="18"/>
        <v>9465.6820177389436</v>
      </c>
      <c r="AJ50" s="58">
        <f t="shared" si="18"/>
        <v>9465.6820177389436</v>
      </c>
      <c r="AK50" s="58">
        <f t="shared" si="18"/>
        <v>9465.6820177389454</v>
      </c>
      <c r="AL50" s="58">
        <f t="shared" si="18"/>
        <v>9465.6820177389436</v>
      </c>
      <c r="AM50" s="58">
        <f t="shared" ref="AM50:AQ50" si="19">IF(AM75&gt;0, AM110, AM63)</f>
        <v>9465.6820177389454</v>
      </c>
      <c r="AN50" s="58">
        <f t="shared" si="19"/>
        <v>9465.6820177389454</v>
      </c>
      <c r="AO50" s="58">
        <f t="shared" si="19"/>
        <v>9465.6820177389436</v>
      </c>
      <c r="AP50" s="58">
        <f t="shared" si="19"/>
        <v>9465.6820177389454</v>
      </c>
      <c r="AQ50" s="58">
        <f t="shared" si="19"/>
        <v>9465.6820177389436</v>
      </c>
    </row>
    <row r="51" spans="1:43" x14ac:dyDescent="0.35">
      <c r="B51" s="27" t="s">
        <v>103</v>
      </c>
      <c r="E51" s="41"/>
      <c r="G51" s="58">
        <f>IF(G76&gt;0, G111, G64)</f>
        <v>7614.9900985693675</v>
      </c>
      <c r="H51" s="58"/>
      <c r="I51" s="58">
        <f t="shared" ref="I51:AL51" si="20">IF(I76&gt;0, I111, I64)</f>
        <v>8370.8541952530486</v>
      </c>
      <c r="J51" s="58">
        <f t="shared" si="20"/>
        <v>8906.0265800504676</v>
      </c>
      <c r="K51" s="58">
        <f t="shared" si="20"/>
        <v>8968.0156686887694</v>
      </c>
      <c r="L51" s="58">
        <f t="shared" si="20"/>
        <v>9150.4326216157733</v>
      </c>
      <c r="M51" s="58">
        <f t="shared" si="20"/>
        <v>10935.810236105954</v>
      </c>
      <c r="N51" s="58">
        <f t="shared" si="20"/>
        <v>10978.248102078878</v>
      </c>
      <c r="O51" s="58">
        <f t="shared" si="20"/>
        <v>10976.910782649047</v>
      </c>
      <c r="P51" s="58">
        <f t="shared" si="20"/>
        <v>10973.934214078625</v>
      </c>
      <c r="Q51" s="58">
        <f t="shared" si="20"/>
        <v>10969.430792751698</v>
      </c>
      <c r="R51" s="58">
        <f t="shared" si="20"/>
        <v>11008.521891929722</v>
      </c>
      <c r="S51" s="58">
        <f t="shared" si="20"/>
        <v>10931.411761910273</v>
      </c>
      <c r="T51" s="58">
        <f t="shared" si="20"/>
        <v>10857.752494290438</v>
      </c>
      <c r="U51" s="58">
        <f t="shared" si="20"/>
        <v>10787.398876746402</v>
      </c>
      <c r="V51" s="58">
        <f t="shared" si="20"/>
        <v>10720.211571841901</v>
      </c>
      <c r="W51" s="58">
        <f t="shared" si="20"/>
        <v>10656.05688575049</v>
      </c>
      <c r="X51" s="58">
        <f t="shared" si="20"/>
        <v>10594.806545901503</v>
      </c>
      <c r="Y51" s="58">
        <f t="shared" si="20"/>
        <v>10536.337487210767</v>
      </c>
      <c r="Z51" s="58">
        <f t="shared" si="20"/>
        <v>10480.531646569598</v>
      </c>
      <c r="AA51" s="58">
        <f t="shared" si="20"/>
        <v>10427.275765278095</v>
      </c>
      <c r="AB51" s="58">
        <f t="shared" si="20"/>
        <v>10376.46119912044</v>
      </c>
      <c r="AC51" s="58">
        <f t="shared" si="20"/>
        <v>10327.983735791211</v>
      </c>
      <c r="AD51" s="58">
        <f t="shared" si="20"/>
        <v>10281.743419392847</v>
      </c>
      <c r="AE51" s="58">
        <f t="shared" si="20"/>
        <v>10237.644381734657</v>
      </c>
      <c r="AF51" s="58">
        <f t="shared" si="20"/>
        <v>10195.594680174218</v>
      </c>
      <c r="AG51" s="58">
        <f t="shared" si="20"/>
        <v>10155.506141751455</v>
      </c>
      <c r="AH51" s="58">
        <f t="shared" si="20"/>
        <v>10117.294213375366</v>
      </c>
      <c r="AI51" s="58">
        <f t="shared" si="20"/>
        <v>10080.877817832185</v>
      </c>
      <c r="AJ51" s="58">
        <f t="shared" si="20"/>
        <v>10046.179215392644</v>
      </c>
      <c r="AK51" s="58">
        <f t="shared" si="20"/>
        <v>10013.123870804286</v>
      </c>
      <c r="AL51" s="58">
        <f t="shared" si="20"/>
        <v>9981.640325462864</v>
      </c>
      <c r="AM51" s="58">
        <f t="shared" ref="AM51:AQ51" si="21">IF(AM76&gt;0, AM111, AM64)</f>
        <v>9951.6600745647029</v>
      </c>
      <c r="AN51" s="58">
        <f t="shared" si="21"/>
        <v>9923.1174490492667</v>
      </c>
      <c r="AO51" s="58">
        <f t="shared" si="21"/>
        <v>9895.9495021484818</v>
      </c>
      <c r="AP51" s="58">
        <f t="shared" si="21"/>
        <v>9870.0959003662374</v>
      </c>
      <c r="AQ51" s="58">
        <f t="shared" si="21"/>
        <v>9845.4988187181571</v>
      </c>
    </row>
    <row r="52" spans="1:43" x14ac:dyDescent="0.35">
      <c r="B52" s="27" t="s">
        <v>216</v>
      </c>
      <c r="E52" s="41"/>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row>
    <row r="53" spans="1:43" x14ac:dyDescent="0.35">
      <c r="B53" s="27" t="s">
        <v>172</v>
      </c>
      <c r="E53" s="41"/>
      <c r="G53" s="58">
        <f>G51-G50</f>
        <v>0</v>
      </c>
      <c r="H53" s="58"/>
      <c r="I53" s="58">
        <f t="shared" ref="I53:AL53" si="22">I51-I50</f>
        <v>0</v>
      </c>
      <c r="J53" s="58">
        <f t="shared" si="22"/>
        <v>0</v>
      </c>
      <c r="K53" s="58">
        <f t="shared" si="22"/>
        <v>0</v>
      </c>
      <c r="L53" s="58">
        <f t="shared" si="22"/>
        <v>0</v>
      </c>
      <c r="M53" s="58">
        <f t="shared" si="22"/>
        <v>1512.1457608928376</v>
      </c>
      <c r="N53" s="58">
        <f t="shared" si="22"/>
        <v>1512.5660843399291</v>
      </c>
      <c r="O53" s="58">
        <f t="shared" si="22"/>
        <v>1511.2287649100981</v>
      </c>
      <c r="P53" s="58">
        <f t="shared" si="22"/>
        <v>1508.2521963396757</v>
      </c>
      <c r="Q53" s="58">
        <f t="shared" si="22"/>
        <v>1503.7487750127493</v>
      </c>
      <c r="R53" s="58">
        <f t="shared" si="22"/>
        <v>1542.8398741907713</v>
      </c>
      <c r="S53" s="58">
        <f t="shared" si="22"/>
        <v>1465.7297441713235</v>
      </c>
      <c r="T53" s="58">
        <f t="shared" si="22"/>
        <v>1392.0704765514893</v>
      </c>
      <c r="U53" s="58">
        <f t="shared" si="22"/>
        <v>1321.7168590074525</v>
      </c>
      <c r="V53" s="58">
        <f t="shared" si="22"/>
        <v>1254.5295541029518</v>
      </c>
      <c r="W53" s="58">
        <f t="shared" si="22"/>
        <v>1190.3748680115423</v>
      </c>
      <c r="X53" s="58">
        <f t="shared" si="22"/>
        <v>1129.1245281625579</v>
      </c>
      <c r="Y53" s="58">
        <f t="shared" si="22"/>
        <v>1070.6554694718216</v>
      </c>
      <c r="Z53" s="58">
        <f t="shared" si="22"/>
        <v>1014.8496288306524</v>
      </c>
      <c r="AA53" s="58">
        <f t="shared" si="22"/>
        <v>961.59374753914926</v>
      </c>
      <c r="AB53" s="58">
        <f t="shared" si="22"/>
        <v>910.77918138149471</v>
      </c>
      <c r="AC53" s="58">
        <f t="shared" si="22"/>
        <v>862.30171805226564</v>
      </c>
      <c r="AD53" s="58">
        <f t="shared" si="22"/>
        <v>816.06140165390389</v>
      </c>
      <c r="AE53" s="58">
        <f t="shared" si="22"/>
        <v>771.96236399571353</v>
      </c>
      <c r="AF53" s="58">
        <f t="shared" si="22"/>
        <v>729.91266243527389</v>
      </c>
      <c r="AG53" s="58">
        <f t="shared" si="22"/>
        <v>689.82412401251349</v>
      </c>
      <c r="AH53" s="58">
        <f t="shared" si="22"/>
        <v>651.61219563642226</v>
      </c>
      <c r="AI53" s="58">
        <f t="shared" si="22"/>
        <v>615.1958000932409</v>
      </c>
      <c r="AJ53" s="58">
        <f t="shared" si="22"/>
        <v>580.49719765369991</v>
      </c>
      <c r="AK53" s="58">
        <f t="shared" si="22"/>
        <v>547.44185306534018</v>
      </c>
      <c r="AL53" s="58">
        <f t="shared" si="22"/>
        <v>515.95830772392037</v>
      </c>
      <c r="AM53" s="58">
        <f t="shared" ref="AM53:AQ53" si="23">AM51-AM50</f>
        <v>485.97805682575745</v>
      </c>
      <c r="AN53" s="58">
        <f t="shared" si="23"/>
        <v>457.43543131032129</v>
      </c>
      <c r="AO53" s="58">
        <f t="shared" si="23"/>
        <v>430.26748440953816</v>
      </c>
      <c r="AP53" s="58">
        <f t="shared" si="23"/>
        <v>404.41388262729197</v>
      </c>
      <c r="AQ53" s="58">
        <f t="shared" si="23"/>
        <v>379.81680097921344</v>
      </c>
    </row>
    <row r="54" spans="1:43" x14ac:dyDescent="0.35">
      <c r="B54" s="27" t="s">
        <v>179</v>
      </c>
      <c r="E54" s="41"/>
      <c r="G54" s="161">
        <f>G53/G50</f>
        <v>0</v>
      </c>
      <c r="H54" s="161"/>
      <c r="I54" s="161">
        <f>I53/I50</f>
        <v>0</v>
      </c>
      <c r="J54" s="161">
        <f t="shared" ref="J54:AL54" si="24">J53/J50</f>
        <v>0</v>
      </c>
      <c r="K54" s="161">
        <f t="shared" si="24"/>
        <v>0</v>
      </c>
      <c r="L54" s="161">
        <f t="shared" si="24"/>
        <v>0</v>
      </c>
      <c r="M54" s="161">
        <f t="shared" si="24"/>
        <v>0.16046260611996593</v>
      </c>
      <c r="N54" s="161">
        <f t="shared" si="24"/>
        <v>0.15979472810362091</v>
      </c>
      <c r="O54" s="161">
        <f t="shared" si="24"/>
        <v>0.15965344727173528</v>
      </c>
      <c r="P54" s="161">
        <f t="shared" si="24"/>
        <v>0.15933898830672419</v>
      </c>
      <c r="Q54" s="161">
        <f t="shared" si="24"/>
        <v>0.15886322530111224</v>
      </c>
      <c r="R54" s="161">
        <f t="shared" si="24"/>
        <v>0.16299299631019154</v>
      </c>
      <c r="S54" s="161">
        <f t="shared" si="24"/>
        <v>0.15484671272756739</v>
      </c>
      <c r="T54" s="161">
        <f t="shared" si="24"/>
        <v>0.14706499478249013</v>
      </c>
      <c r="U54" s="161">
        <f t="shared" si="24"/>
        <v>0.13963250154933565</v>
      </c>
      <c r="V54" s="161">
        <f t="shared" si="24"/>
        <v>0.13253451275374864</v>
      </c>
      <c r="W54" s="161">
        <f t="shared" si="24"/>
        <v>0.12575690433935421</v>
      </c>
      <c r="X54" s="161">
        <f t="shared" si="24"/>
        <v>0.11928612497721219</v>
      </c>
      <c r="Y54" s="161">
        <f t="shared" si="24"/>
        <v>0.11310917348220488</v>
      </c>
      <c r="Z54" s="161">
        <f t="shared" si="24"/>
        <v>0.10721357710187143</v>
      </c>
      <c r="AA54" s="161">
        <f t="shared" si="24"/>
        <v>0.10158737064451315</v>
      </c>
      <c r="AB54" s="161">
        <f t="shared" si="24"/>
        <v>9.6219076414638671E-2</v>
      </c>
      <c r="AC54" s="161">
        <f t="shared" si="24"/>
        <v>9.1097684925004752E-2</v>
      </c>
      <c r="AD54" s="161">
        <f t="shared" si="24"/>
        <v>8.6212636355688141E-2</v>
      </c>
      <c r="AE54" s="161">
        <f t="shared" si="24"/>
        <v>8.1553802731703345E-2</v>
      </c>
      <c r="AF54" s="161">
        <f t="shared" si="24"/>
        <v>7.7111470791792688E-2</v>
      </c>
      <c r="AG54" s="161">
        <f t="shared" si="24"/>
        <v>7.2876325522003016E-2</v>
      </c>
      <c r="AH54" s="161">
        <f t="shared" si="24"/>
        <v>6.8839434328692148E-2</v>
      </c>
      <c r="AI54" s="161">
        <f t="shared" si="24"/>
        <v>6.4992231826544289E-2</v>
      </c>
      <c r="AJ54" s="161">
        <f t="shared" si="24"/>
        <v>6.1326505218095483E-2</v>
      </c>
      <c r="AK54" s="161">
        <f t="shared" si="24"/>
        <v>5.7834380242165251E-2</v>
      </c>
      <c r="AL54" s="161">
        <f t="shared" si="24"/>
        <v>5.4508307669431592E-2</v>
      </c>
      <c r="AM54" s="161">
        <f t="shared" ref="AM54:AQ54" si="25">AM53/AM50</f>
        <v>5.1341050324215556E-2</v>
      </c>
      <c r="AN54" s="161">
        <f t="shared" si="25"/>
        <v>4.8325670612331457E-2</v>
      </c>
      <c r="AO54" s="161">
        <f t="shared" si="25"/>
        <v>4.5455518535611618E-2</v>
      </c>
      <c r="AP54" s="161">
        <f t="shared" si="25"/>
        <v>4.2724220174458573E-2</v>
      </c>
      <c r="AQ54" s="161">
        <f t="shared" si="25"/>
        <v>4.0125666620474523E-2</v>
      </c>
    </row>
    <row r="55" spans="1:43" x14ac:dyDescent="0.35">
      <c r="B55" s="27"/>
      <c r="E55" s="4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row>
    <row r="56" spans="1:43" x14ac:dyDescent="0.35">
      <c r="A56" s="42" t="s">
        <v>176</v>
      </c>
      <c r="B56" s="27"/>
      <c r="E56" s="4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row>
    <row r="57" spans="1:43" x14ac:dyDescent="0.35">
      <c r="B57" s="27" t="s">
        <v>174</v>
      </c>
      <c r="E57" s="41"/>
      <c r="G57" s="58">
        <f>-1*((BaseEnroll!G42) - G50)</f>
        <v>2572.4389964092788</v>
      </c>
      <c r="H57" s="58"/>
      <c r="I57" s="58">
        <v>0</v>
      </c>
      <c r="J57" s="58">
        <v>0</v>
      </c>
      <c r="K57" s="58">
        <v>0</v>
      </c>
      <c r="L57" s="58">
        <f>-1*((BaseEnroll!I42) - L50)</f>
        <v>0</v>
      </c>
      <c r="M57" s="58">
        <f>-1*((BaseEnroll!J42) - M50)</f>
        <v>0</v>
      </c>
      <c r="N57" s="58">
        <f>-1*((BaseEnroll!K42) - N50)</f>
        <v>0</v>
      </c>
      <c r="O57" s="58">
        <f>-1*((BaseEnroll!L42) - O50)</f>
        <v>0</v>
      </c>
      <c r="P57" s="58">
        <f>-1*((BaseEnroll!M42) - P50)</f>
        <v>0</v>
      </c>
      <c r="Q57" s="58">
        <f>-1*((BaseEnroll!N42) - Q50)</f>
        <v>0</v>
      </c>
      <c r="R57" s="58">
        <f>-1*((BaseEnroll!O42) - R50)</f>
        <v>0</v>
      </c>
      <c r="S57" s="58">
        <f>-1*((BaseEnroll!P42) - S50)</f>
        <v>0</v>
      </c>
      <c r="T57" s="58">
        <f>-1*((BaseEnroll!Q42) - T50)</f>
        <v>0</v>
      </c>
      <c r="U57" s="58">
        <f>-1*((BaseEnroll!R42) - U50)</f>
        <v>0</v>
      </c>
      <c r="V57" s="58">
        <f>-1*((BaseEnroll!S42) - V50)</f>
        <v>0</v>
      </c>
      <c r="W57" s="58">
        <f>-1*((BaseEnroll!T42) - W50)</f>
        <v>0</v>
      </c>
      <c r="X57" s="58">
        <f>-1*((BaseEnroll!U42) - X50)</f>
        <v>0</v>
      </c>
      <c r="Y57" s="58">
        <f>-1*((BaseEnroll!V42) - Y50)</f>
        <v>0</v>
      </c>
      <c r="Z57" s="58">
        <f>-1*((BaseEnroll!W42) - Z50)</f>
        <v>0</v>
      </c>
      <c r="AA57" s="58">
        <f>-1*((BaseEnroll!X42) - AA50)</f>
        <v>0</v>
      </c>
      <c r="AB57" s="58">
        <f>-1*((BaseEnroll!Y42) - AB50)</f>
        <v>0</v>
      </c>
      <c r="AC57" s="58">
        <f>-1*((BaseEnroll!Z42) - AC50)</f>
        <v>0</v>
      </c>
      <c r="AD57" s="58">
        <f>-1*((BaseEnroll!AA42) - AD50)</f>
        <v>0</v>
      </c>
      <c r="AE57" s="58">
        <f>-1*((BaseEnroll!AB42) - AE50)</f>
        <v>0</v>
      </c>
      <c r="AF57" s="58">
        <f>-1*((BaseEnroll!AC42) - AF50)</f>
        <v>0</v>
      </c>
      <c r="AG57" s="58">
        <f>-1*((BaseEnroll!AD42) - AG50)</f>
        <v>0</v>
      </c>
      <c r="AH57" s="58">
        <f>-1*((BaseEnroll!AE42) - AH50)</f>
        <v>0</v>
      </c>
      <c r="AI57" s="58">
        <f>-1*((BaseEnroll!AF42) - AI50)</f>
        <v>0</v>
      </c>
      <c r="AJ57" s="58">
        <f>-1*((BaseEnroll!AG42) - AJ50)</f>
        <v>0</v>
      </c>
      <c r="AK57" s="58">
        <f>-1*((BaseEnroll!AH42) - AK50)</f>
        <v>0</v>
      </c>
      <c r="AL57" s="58">
        <f>-1*((BaseEnroll!AI42) - AL50)</f>
        <v>0</v>
      </c>
      <c r="AM57" s="58">
        <f>-1*((BaseEnroll!AJ42) - AM50)</f>
        <v>0</v>
      </c>
      <c r="AN57" s="58">
        <f>-1*((BaseEnroll!AK42) - AN50)</f>
        <v>0</v>
      </c>
      <c r="AO57" s="58">
        <f>-1*((BaseEnroll!AL42) - AO50)</f>
        <v>0</v>
      </c>
      <c r="AP57" s="58">
        <f>-1*((BaseEnroll!AM42) - AP50)</f>
        <v>0</v>
      </c>
      <c r="AQ57" s="58">
        <f>-1*((BaseEnroll!AN42) - AQ50)</f>
        <v>0</v>
      </c>
    </row>
    <row r="58" spans="1:43" x14ac:dyDescent="0.35">
      <c r="B58" s="27" t="s">
        <v>177</v>
      </c>
      <c r="E58" s="41"/>
      <c r="G58" s="161">
        <f>G57/G50</f>
        <v>0.33781252018864272</v>
      </c>
      <c r="H58" s="58"/>
      <c r="I58" s="161">
        <f t="shared" ref="I58:K58" si="26">I57/I50</f>
        <v>0</v>
      </c>
      <c r="J58" s="161">
        <f t="shared" si="26"/>
        <v>0</v>
      </c>
      <c r="K58" s="161">
        <f t="shared" si="26"/>
        <v>0</v>
      </c>
      <c r="L58" s="161">
        <f t="shared" ref="L58:AL58" si="27">L57/L50</f>
        <v>0</v>
      </c>
      <c r="M58" s="161">
        <f t="shared" si="27"/>
        <v>0</v>
      </c>
      <c r="N58" s="161">
        <f t="shared" si="27"/>
        <v>0</v>
      </c>
      <c r="O58" s="161">
        <f t="shared" si="27"/>
        <v>0</v>
      </c>
      <c r="P58" s="161">
        <f t="shared" si="27"/>
        <v>0</v>
      </c>
      <c r="Q58" s="161">
        <f t="shared" si="27"/>
        <v>0</v>
      </c>
      <c r="R58" s="161">
        <f t="shared" si="27"/>
        <v>0</v>
      </c>
      <c r="S58" s="161">
        <f t="shared" si="27"/>
        <v>0</v>
      </c>
      <c r="T58" s="161">
        <f t="shared" si="27"/>
        <v>0</v>
      </c>
      <c r="U58" s="161">
        <f t="shared" si="27"/>
        <v>0</v>
      </c>
      <c r="V58" s="161">
        <f t="shared" si="27"/>
        <v>0</v>
      </c>
      <c r="W58" s="161">
        <f t="shared" si="27"/>
        <v>0</v>
      </c>
      <c r="X58" s="161">
        <f t="shared" si="27"/>
        <v>0</v>
      </c>
      <c r="Y58" s="161">
        <f t="shared" si="27"/>
        <v>0</v>
      </c>
      <c r="Z58" s="161">
        <f t="shared" si="27"/>
        <v>0</v>
      </c>
      <c r="AA58" s="161">
        <f t="shared" si="27"/>
        <v>0</v>
      </c>
      <c r="AB58" s="161">
        <f t="shared" si="27"/>
        <v>0</v>
      </c>
      <c r="AC58" s="161">
        <f t="shared" si="27"/>
        <v>0</v>
      </c>
      <c r="AD58" s="161">
        <f t="shared" si="27"/>
        <v>0</v>
      </c>
      <c r="AE58" s="161">
        <f t="shared" si="27"/>
        <v>0</v>
      </c>
      <c r="AF58" s="161">
        <f t="shared" si="27"/>
        <v>0</v>
      </c>
      <c r="AG58" s="161">
        <f t="shared" si="27"/>
        <v>0</v>
      </c>
      <c r="AH58" s="161">
        <f t="shared" si="27"/>
        <v>0</v>
      </c>
      <c r="AI58" s="161">
        <f t="shared" si="27"/>
        <v>0</v>
      </c>
      <c r="AJ58" s="161">
        <f t="shared" si="27"/>
        <v>0</v>
      </c>
      <c r="AK58" s="161">
        <f t="shared" si="27"/>
        <v>0</v>
      </c>
      <c r="AL58" s="161">
        <f t="shared" si="27"/>
        <v>0</v>
      </c>
      <c r="AM58" s="161">
        <f t="shared" ref="AM58:AQ58" si="28">AM57/AM50</f>
        <v>0</v>
      </c>
      <c r="AN58" s="161">
        <f t="shared" si="28"/>
        <v>0</v>
      </c>
      <c r="AO58" s="161">
        <f t="shared" si="28"/>
        <v>0</v>
      </c>
      <c r="AP58" s="161">
        <f t="shared" si="28"/>
        <v>0</v>
      </c>
      <c r="AQ58" s="161">
        <f t="shared" si="28"/>
        <v>0</v>
      </c>
    </row>
    <row r="59" spans="1:43" x14ac:dyDescent="0.35">
      <c r="B59" s="27" t="s">
        <v>175</v>
      </c>
      <c r="E59" s="41"/>
      <c r="G59" s="58">
        <f>G51-BaseEnroll!G42</f>
        <v>2572.4389964092788</v>
      </c>
      <c r="H59" s="58"/>
      <c r="I59" s="58">
        <v>0</v>
      </c>
      <c r="J59" s="58">
        <v>0</v>
      </c>
      <c r="K59" s="58">
        <v>0</v>
      </c>
      <c r="L59" s="58">
        <f>L51-BaseEnroll!I42</f>
        <v>0</v>
      </c>
      <c r="M59" s="58">
        <f>M51-BaseEnroll!J42</f>
        <v>1512.1457608928376</v>
      </c>
      <c r="N59" s="58">
        <f>N51-BaseEnroll!K42</f>
        <v>1512.5660843399291</v>
      </c>
      <c r="O59" s="58">
        <f>O51-BaseEnroll!L42</f>
        <v>1511.2287649100981</v>
      </c>
      <c r="P59" s="58">
        <f>P51-BaseEnroll!M42</f>
        <v>1508.2521963396757</v>
      </c>
      <c r="Q59" s="58">
        <f>Q51-BaseEnroll!N42</f>
        <v>1503.7487750127493</v>
      </c>
      <c r="R59" s="58">
        <f>R51-BaseEnroll!O42</f>
        <v>1542.8398741907713</v>
      </c>
      <c r="S59" s="58">
        <f>S51-BaseEnroll!P42</f>
        <v>1465.7297441713235</v>
      </c>
      <c r="T59" s="58">
        <f>T51-BaseEnroll!Q42</f>
        <v>1392.0704765514893</v>
      </c>
      <c r="U59" s="58">
        <f>U51-BaseEnroll!R42</f>
        <v>1321.7168590074525</v>
      </c>
      <c r="V59" s="58">
        <f>V51-BaseEnroll!S42</f>
        <v>1254.5295541029518</v>
      </c>
      <c r="W59" s="58">
        <f>W51-BaseEnroll!T42</f>
        <v>1190.3748680115423</v>
      </c>
      <c r="X59" s="58">
        <f>X51-BaseEnroll!U42</f>
        <v>1129.1245281625579</v>
      </c>
      <c r="Y59" s="58">
        <f>Y51-BaseEnroll!V42</f>
        <v>1070.6554694718216</v>
      </c>
      <c r="Z59" s="58">
        <f>Z51-BaseEnroll!W42</f>
        <v>1014.8496288306524</v>
      </c>
      <c r="AA59" s="58">
        <f>AA51-BaseEnroll!X42</f>
        <v>961.59374753914926</v>
      </c>
      <c r="AB59" s="58">
        <f>AB51-BaseEnroll!Y42</f>
        <v>910.77918138149471</v>
      </c>
      <c r="AC59" s="58">
        <f>AC51-BaseEnroll!Z42</f>
        <v>862.30171805226564</v>
      </c>
      <c r="AD59" s="58">
        <f>AD51-BaseEnroll!AA42</f>
        <v>816.06140165390389</v>
      </c>
      <c r="AE59" s="58">
        <f>AE51-BaseEnroll!AB42</f>
        <v>771.96236399571353</v>
      </c>
      <c r="AF59" s="58">
        <f>AF51-BaseEnroll!AC42</f>
        <v>729.91266243527389</v>
      </c>
      <c r="AG59" s="58">
        <f>AG51-BaseEnroll!AD42</f>
        <v>689.82412401251349</v>
      </c>
      <c r="AH59" s="58">
        <f>AH51-BaseEnroll!AE42</f>
        <v>651.61219563642226</v>
      </c>
      <c r="AI59" s="58">
        <f>AI51-BaseEnroll!AF42</f>
        <v>615.1958000932409</v>
      </c>
      <c r="AJ59" s="58">
        <f>AJ51-BaseEnroll!AG42</f>
        <v>580.49719765369991</v>
      </c>
      <c r="AK59" s="58">
        <f>AK51-BaseEnroll!AH42</f>
        <v>547.44185306534018</v>
      </c>
      <c r="AL59" s="58">
        <f>AL51-BaseEnroll!AI42</f>
        <v>515.95830772392037</v>
      </c>
      <c r="AM59" s="58">
        <f>AM51-BaseEnroll!AJ42</f>
        <v>485.97805682575745</v>
      </c>
      <c r="AN59" s="58">
        <f>AN51-BaseEnroll!AK42</f>
        <v>457.43543131032129</v>
      </c>
      <c r="AO59" s="58">
        <f>AO51-BaseEnroll!AL42</f>
        <v>430.26748440953816</v>
      </c>
      <c r="AP59" s="58">
        <f>AP51-BaseEnroll!AM42</f>
        <v>404.41388262729197</v>
      </c>
      <c r="AQ59" s="58">
        <f>AQ51-BaseEnroll!AN42</f>
        <v>379.81680097921344</v>
      </c>
    </row>
    <row r="60" spans="1:43" s="9" customFormat="1" x14ac:dyDescent="0.35">
      <c r="B60" s="162" t="s">
        <v>178</v>
      </c>
      <c r="G60" s="163">
        <f>G59/BaseEnroll!G42</f>
        <v>0.51014634146341475</v>
      </c>
      <c r="H60" s="191"/>
      <c r="I60" s="163">
        <f>IF(I59/BaseEnroll!I42&lt;0,0,I59/BaseEnroll!I42)</f>
        <v>0</v>
      </c>
      <c r="J60" s="163">
        <f>IF(J59/BaseEnroll!J42&lt;0,0,J59/BaseEnroll!J42)</f>
        <v>0</v>
      </c>
      <c r="K60" s="163">
        <f>IF(K59/BaseEnroll!K42&lt;0,0,K59/BaseEnroll!K42)</f>
        <v>0</v>
      </c>
      <c r="L60" s="163">
        <f>L59/BaseEnroll!I42</f>
        <v>0</v>
      </c>
      <c r="M60" s="163">
        <f>M59/BaseEnroll!J42</f>
        <v>0.16046260611996593</v>
      </c>
      <c r="N60" s="163">
        <f>N59/BaseEnroll!K42</f>
        <v>0.15979472810362091</v>
      </c>
      <c r="O60" s="163">
        <f>O59/BaseEnroll!L42</f>
        <v>0.15965344727173528</v>
      </c>
      <c r="P60" s="163">
        <f>P59/BaseEnroll!M42</f>
        <v>0.15933898830672419</v>
      </c>
      <c r="Q60" s="163">
        <f>Q59/BaseEnroll!N42</f>
        <v>0.15886322530111224</v>
      </c>
      <c r="R60" s="163">
        <f>R59/BaseEnroll!O42</f>
        <v>0.16299299631019154</v>
      </c>
      <c r="S60" s="163">
        <f>S59/BaseEnroll!P42</f>
        <v>0.15484671272756739</v>
      </c>
      <c r="T60" s="163">
        <f>T59/BaseEnroll!Q42</f>
        <v>0.14706499478249013</v>
      </c>
      <c r="U60" s="163">
        <f>U59/BaseEnroll!R42</f>
        <v>0.13963250154933565</v>
      </c>
      <c r="V60" s="163">
        <f>V59/BaseEnroll!S42</f>
        <v>0.13253451275374864</v>
      </c>
      <c r="W60" s="163">
        <f>W59/BaseEnroll!T42</f>
        <v>0.12575690433935421</v>
      </c>
      <c r="X60" s="163">
        <f>X59/BaseEnroll!U42</f>
        <v>0.11928612497721219</v>
      </c>
      <c r="Y60" s="163">
        <f>Y59/BaseEnroll!V42</f>
        <v>0.11310917348220488</v>
      </c>
      <c r="Z60" s="163">
        <f>Z59/BaseEnroll!W42</f>
        <v>0.10721357710187143</v>
      </c>
      <c r="AA60" s="163">
        <f>AA59/BaseEnroll!X42</f>
        <v>0.10158737064451315</v>
      </c>
      <c r="AB60" s="163">
        <f>AB59/BaseEnroll!Y42</f>
        <v>9.6219076414638671E-2</v>
      </c>
      <c r="AC60" s="163">
        <f>AC59/BaseEnroll!Z42</f>
        <v>9.1097684925004752E-2</v>
      </c>
      <c r="AD60" s="163">
        <f>AD59/BaseEnroll!AA42</f>
        <v>8.6212636355688141E-2</v>
      </c>
      <c r="AE60" s="163">
        <f>AE59/BaseEnroll!AB42</f>
        <v>8.1553802731703345E-2</v>
      </c>
      <c r="AF60" s="163">
        <f>AF59/BaseEnroll!AC42</f>
        <v>7.7111470791792688E-2</v>
      </c>
      <c r="AG60" s="163">
        <f>AG59/BaseEnroll!AD42</f>
        <v>7.2876325522003016E-2</v>
      </c>
      <c r="AH60" s="163">
        <f>AH59/BaseEnroll!AE42</f>
        <v>6.8839434328692148E-2</v>
      </c>
      <c r="AI60" s="163">
        <f>AI59/BaseEnroll!AF42</f>
        <v>6.4992231826544289E-2</v>
      </c>
      <c r="AJ60" s="163">
        <f>AJ59/BaseEnroll!AG42</f>
        <v>6.1326505218095483E-2</v>
      </c>
      <c r="AK60" s="163">
        <f>AK59/BaseEnroll!AH42</f>
        <v>5.7834380242165251E-2</v>
      </c>
      <c r="AL60" s="163">
        <f>AL59/BaseEnroll!AI42</f>
        <v>5.4508307669431592E-2</v>
      </c>
      <c r="AM60" s="163">
        <f>AM59/BaseEnroll!AJ42</f>
        <v>5.1341050324215556E-2</v>
      </c>
      <c r="AN60" s="163">
        <f>AN59/BaseEnroll!AK42</f>
        <v>4.8325670612331457E-2</v>
      </c>
      <c r="AO60" s="163">
        <f>AO59/BaseEnroll!AL42</f>
        <v>4.5455518535611618E-2</v>
      </c>
      <c r="AP60" s="163">
        <f>AP59/BaseEnroll!AM42</f>
        <v>4.2724220174458573E-2</v>
      </c>
      <c r="AQ60" s="163">
        <f>AQ59/BaseEnroll!AN42</f>
        <v>4.0125666620474523E-2</v>
      </c>
    </row>
    <row r="61" spans="1:43" x14ac:dyDescent="0.35">
      <c r="F61" s="40"/>
      <c r="G61" s="60"/>
      <c r="H61" s="60"/>
      <c r="I61" s="111"/>
      <c r="J61" s="111"/>
      <c r="K61" s="111"/>
      <c r="L61" s="111"/>
      <c r="M61" s="110"/>
      <c r="N61" s="111"/>
      <c r="O61" s="111"/>
      <c r="P61" s="108"/>
      <c r="Q61" s="108"/>
      <c r="R61" s="108"/>
    </row>
    <row r="62" spans="1:43" x14ac:dyDescent="0.35">
      <c r="A62" s="42" t="s">
        <v>76</v>
      </c>
      <c r="G62" s="56"/>
      <c r="H62" s="56"/>
      <c r="I62" s="108"/>
      <c r="J62" s="108"/>
      <c r="K62" s="108"/>
      <c r="L62" s="108"/>
      <c r="M62" s="108"/>
      <c r="N62" s="108"/>
      <c r="O62" s="108"/>
      <c r="P62" s="108"/>
      <c r="Q62" s="108"/>
      <c r="R62" s="108"/>
    </row>
    <row r="63" spans="1:43" x14ac:dyDescent="0.35">
      <c r="A63" s="42"/>
      <c r="B63" s="27" t="s">
        <v>173</v>
      </c>
      <c r="F63" s="44"/>
      <c r="G63" s="60">
        <f>G42*G49/100</f>
        <v>7614.9900985693675</v>
      </c>
      <c r="H63" s="60"/>
      <c r="I63" s="60">
        <f t="shared" ref="I63:AL63" si="29">I42*I49/100</f>
        <v>8370.8541952530486</v>
      </c>
      <c r="J63" s="60">
        <f t="shared" si="29"/>
        <v>8906.0265800504676</v>
      </c>
      <c r="K63" s="60">
        <f t="shared" si="29"/>
        <v>8968.0156686887694</v>
      </c>
      <c r="L63" s="60">
        <f t="shared" si="29"/>
        <v>9150.4326216157733</v>
      </c>
      <c r="M63" s="60">
        <f t="shared" si="29"/>
        <v>9423.664475213116</v>
      </c>
      <c r="N63" s="60">
        <f t="shared" si="29"/>
        <v>9465.6820177389491</v>
      </c>
      <c r="O63" s="60">
        <f t="shared" si="29"/>
        <v>9465.6820177389491</v>
      </c>
      <c r="P63" s="60">
        <f t="shared" si="29"/>
        <v>9465.6820177389491</v>
      </c>
      <c r="Q63" s="60">
        <f t="shared" si="29"/>
        <v>9465.6820177389491</v>
      </c>
      <c r="R63" s="60">
        <f t="shared" si="29"/>
        <v>9465.6820177389509</v>
      </c>
      <c r="S63" s="60">
        <f t="shared" si="29"/>
        <v>9465.6820177389491</v>
      </c>
      <c r="T63" s="60">
        <f t="shared" si="29"/>
        <v>9465.6820177389491</v>
      </c>
      <c r="U63" s="60">
        <f t="shared" si="29"/>
        <v>9465.6820177389491</v>
      </c>
      <c r="V63" s="60">
        <f t="shared" si="29"/>
        <v>9465.6820177389491</v>
      </c>
      <c r="W63" s="60">
        <f t="shared" si="29"/>
        <v>9465.6820177389473</v>
      </c>
      <c r="X63" s="60">
        <f t="shared" si="29"/>
        <v>9465.6820177389454</v>
      </c>
      <c r="Y63" s="60">
        <f t="shared" si="29"/>
        <v>9465.6820177389454</v>
      </c>
      <c r="Z63" s="60">
        <f t="shared" si="29"/>
        <v>9465.6820177389454</v>
      </c>
      <c r="AA63" s="60">
        <f t="shared" si="29"/>
        <v>9465.6820177389454</v>
      </c>
      <c r="AB63" s="60">
        <f t="shared" si="29"/>
        <v>9465.6820177389454</v>
      </c>
      <c r="AC63" s="60">
        <f t="shared" si="29"/>
        <v>9465.6820177389454</v>
      </c>
      <c r="AD63" s="60">
        <f t="shared" si="29"/>
        <v>9465.6820177389436</v>
      </c>
      <c r="AE63" s="60">
        <f t="shared" si="29"/>
        <v>9465.6820177389436</v>
      </c>
      <c r="AF63" s="60">
        <f t="shared" si="29"/>
        <v>9465.6820177389436</v>
      </c>
      <c r="AG63" s="60">
        <f t="shared" si="29"/>
        <v>9465.6820177389418</v>
      </c>
      <c r="AH63" s="60">
        <f t="shared" si="29"/>
        <v>9465.6820177389436</v>
      </c>
      <c r="AI63" s="60">
        <f t="shared" si="29"/>
        <v>9465.6820177389436</v>
      </c>
      <c r="AJ63" s="60">
        <f t="shared" si="29"/>
        <v>9465.6820177389436</v>
      </c>
      <c r="AK63" s="60">
        <f t="shared" si="29"/>
        <v>9465.6820177389454</v>
      </c>
      <c r="AL63" s="60">
        <f t="shared" si="29"/>
        <v>9465.6820177389436</v>
      </c>
      <c r="AM63" s="60">
        <f t="shared" ref="AM63:AQ63" si="30">AM42*AM49/100</f>
        <v>9465.6820177389454</v>
      </c>
      <c r="AN63" s="60">
        <f t="shared" si="30"/>
        <v>9465.6820177389454</v>
      </c>
      <c r="AO63" s="60">
        <f t="shared" si="30"/>
        <v>9465.6820177389436</v>
      </c>
      <c r="AP63" s="60">
        <f t="shared" si="30"/>
        <v>9465.6820177389454</v>
      </c>
      <c r="AQ63" s="60">
        <f t="shared" si="30"/>
        <v>9465.6820177389436</v>
      </c>
    </row>
    <row r="64" spans="1:43" x14ac:dyDescent="0.35">
      <c r="B64" s="27" t="s">
        <v>148</v>
      </c>
      <c r="F64" s="40"/>
      <c r="G64" s="60">
        <f>G43*G49/100</f>
        <v>7614.9900985693675</v>
      </c>
      <c r="H64" s="60"/>
      <c r="I64" s="60">
        <f t="shared" ref="I64:AL64" si="31">I43*I49/100</f>
        <v>8370.8541952530486</v>
      </c>
      <c r="J64" s="60">
        <f t="shared" si="31"/>
        <v>8906.0265800504676</v>
      </c>
      <c r="K64" s="60">
        <f t="shared" si="31"/>
        <v>8968.0156686887694</v>
      </c>
      <c r="L64" s="60">
        <f t="shared" si="31"/>
        <v>9150.4326216157733</v>
      </c>
      <c r="M64" s="60">
        <f t="shared" si="31"/>
        <v>10935.810236105954</v>
      </c>
      <c r="N64" s="60">
        <f t="shared" si="31"/>
        <v>10978.248102078878</v>
      </c>
      <c r="O64" s="60">
        <f t="shared" si="31"/>
        <v>10976.910782649047</v>
      </c>
      <c r="P64" s="60">
        <f t="shared" si="31"/>
        <v>10973.934214078625</v>
      </c>
      <c r="Q64" s="60">
        <f t="shared" si="31"/>
        <v>10969.430792751698</v>
      </c>
      <c r="R64" s="60">
        <f t="shared" si="31"/>
        <v>11008.521891929722</v>
      </c>
      <c r="S64" s="60">
        <f t="shared" si="31"/>
        <v>10931.411761910273</v>
      </c>
      <c r="T64" s="60">
        <f t="shared" si="31"/>
        <v>10857.752494290438</v>
      </c>
      <c r="U64" s="60">
        <f t="shared" si="31"/>
        <v>10787.398876746402</v>
      </c>
      <c r="V64" s="60">
        <f t="shared" si="31"/>
        <v>10720.211571841901</v>
      </c>
      <c r="W64" s="60">
        <f t="shared" si="31"/>
        <v>10656.05688575049</v>
      </c>
      <c r="X64" s="60">
        <f t="shared" si="31"/>
        <v>10594.806545901503</v>
      </c>
      <c r="Y64" s="60">
        <f t="shared" si="31"/>
        <v>10536.337487210767</v>
      </c>
      <c r="Z64" s="60">
        <f t="shared" si="31"/>
        <v>10480.531646569598</v>
      </c>
      <c r="AA64" s="60">
        <f t="shared" si="31"/>
        <v>10427.275765278095</v>
      </c>
      <c r="AB64" s="60">
        <f t="shared" si="31"/>
        <v>10376.46119912044</v>
      </c>
      <c r="AC64" s="60">
        <f t="shared" si="31"/>
        <v>10327.983735791211</v>
      </c>
      <c r="AD64" s="60">
        <f t="shared" si="31"/>
        <v>10281.743419392847</v>
      </c>
      <c r="AE64" s="60">
        <f t="shared" si="31"/>
        <v>10237.644381734657</v>
      </c>
      <c r="AF64" s="60">
        <f t="shared" si="31"/>
        <v>10195.594680174218</v>
      </c>
      <c r="AG64" s="60">
        <f t="shared" si="31"/>
        <v>10155.506141751455</v>
      </c>
      <c r="AH64" s="60">
        <f t="shared" si="31"/>
        <v>10117.294213375366</v>
      </c>
      <c r="AI64" s="60">
        <f t="shared" si="31"/>
        <v>10080.877817832185</v>
      </c>
      <c r="AJ64" s="60">
        <f t="shared" si="31"/>
        <v>10046.179215392644</v>
      </c>
      <c r="AK64" s="60">
        <f t="shared" si="31"/>
        <v>10013.123870804286</v>
      </c>
      <c r="AL64" s="60">
        <f t="shared" si="31"/>
        <v>9981.640325462864</v>
      </c>
      <c r="AM64" s="60">
        <f t="shared" ref="AM64:AQ64" si="32">AM43*AM49/100</f>
        <v>9951.6600745647029</v>
      </c>
      <c r="AN64" s="60">
        <f t="shared" si="32"/>
        <v>9923.1174490492667</v>
      </c>
      <c r="AO64" s="60">
        <f t="shared" si="32"/>
        <v>9895.9495021484818</v>
      </c>
      <c r="AP64" s="60">
        <f t="shared" si="32"/>
        <v>9870.0959003662374</v>
      </c>
      <c r="AQ64" s="60">
        <f t="shared" si="32"/>
        <v>9845.4988187181571</v>
      </c>
    </row>
    <row r="65" spans="1:43" x14ac:dyDescent="0.35">
      <c r="B65" s="27" t="s">
        <v>66</v>
      </c>
      <c r="F65" s="40"/>
      <c r="G65" s="60">
        <f>(G43-G42)*G49/100</f>
        <v>0</v>
      </c>
      <c r="H65" s="60"/>
      <c r="I65" s="60">
        <f t="shared" ref="I65:AL65" si="33">(I43-I42)*I49/100</f>
        <v>0</v>
      </c>
      <c r="J65" s="60">
        <f t="shared" si="33"/>
        <v>0</v>
      </c>
      <c r="K65" s="60">
        <f t="shared" si="33"/>
        <v>0</v>
      </c>
      <c r="L65" s="60">
        <f t="shared" si="33"/>
        <v>0</v>
      </c>
      <c r="M65" s="60">
        <f t="shared" si="33"/>
        <v>1512.1457608928388</v>
      </c>
      <c r="N65" s="60">
        <f t="shared" si="33"/>
        <v>1512.5660843399296</v>
      </c>
      <c r="O65" s="60">
        <f t="shared" si="33"/>
        <v>1511.2287649100974</v>
      </c>
      <c r="P65" s="60">
        <f t="shared" si="33"/>
        <v>1508.2521963396762</v>
      </c>
      <c r="Q65" s="60">
        <f t="shared" si="33"/>
        <v>1503.7487750127493</v>
      </c>
      <c r="R65" s="60">
        <f t="shared" si="33"/>
        <v>1542.8398741907708</v>
      </c>
      <c r="S65" s="60">
        <f t="shared" si="33"/>
        <v>1465.7297441713226</v>
      </c>
      <c r="T65" s="60">
        <f t="shared" si="33"/>
        <v>1392.070476551489</v>
      </c>
      <c r="U65" s="60">
        <f t="shared" si="33"/>
        <v>1321.7168590074521</v>
      </c>
      <c r="V65" s="60">
        <f t="shared" si="33"/>
        <v>1254.5295541029536</v>
      </c>
      <c r="W65" s="60">
        <f t="shared" si="33"/>
        <v>1190.3748680115409</v>
      </c>
      <c r="X65" s="60">
        <f t="shared" si="33"/>
        <v>1129.1245281625568</v>
      </c>
      <c r="Y65" s="60">
        <f t="shared" si="33"/>
        <v>1070.6554694718213</v>
      </c>
      <c r="Z65" s="60">
        <f t="shared" si="33"/>
        <v>1014.8496288306535</v>
      </c>
      <c r="AA65" s="60">
        <f t="shared" si="33"/>
        <v>961.59374753914938</v>
      </c>
      <c r="AB65" s="60">
        <f t="shared" si="33"/>
        <v>910.77918138149403</v>
      </c>
      <c r="AC65" s="60">
        <f t="shared" si="33"/>
        <v>862.30171805226678</v>
      </c>
      <c r="AD65" s="60">
        <f t="shared" si="33"/>
        <v>816.06140165390275</v>
      </c>
      <c r="AE65" s="60">
        <f t="shared" si="33"/>
        <v>771.96236399571444</v>
      </c>
      <c r="AF65" s="60">
        <f t="shared" si="33"/>
        <v>729.912662435274</v>
      </c>
      <c r="AG65" s="60">
        <f t="shared" si="33"/>
        <v>689.82412401251304</v>
      </c>
      <c r="AH65" s="60">
        <f t="shared" si="33"/>
        <v>651.61219563642271</v>
      </c>
      <c r="AI65" s="60">
        <f t="shared" si="33"/>
        <v>615.19580009324022</v>
      </c>
      <c r="AJ65" s="60">
        <f t="shared" si="33"/>
        <v>580.49719765370048</v>
      </c>
      <c r="AK65" s="60">
        <f t="shared" si="33"/>
        <v>547.4418530653403</v>
      </c>
      <c r="AL65" s="60">
        <f t="shared" si="33"/>
        <v>515.95830772392003</v>
      </c>
      <c r="AM65" s="60">
        <f t="shared" ref="AM65:AQ65" si="34">(AM43-AM42)*AM49/100</f>
        <v>485.97805682575813</v>
      </c>
      <c r="AN65" s="60">
        <f t="shared" si="34"/>
        <v>457.43543131032106</v>
      </c>
      <c r="AO65" s="60">
        <f t="shared" si="34"/>
        <v>430.26748440953764</v>
      </c>
      <c r="AP65" s="60">
        <f t="shared" si="34"/>
        <v>404.41388262729265</v>
      </c>
      <c r="AQ65" s="60">
        <f t="shared" si="34"/>
        <v>379.81680097921412</v>
      </c>
    </row>
    <row r="66" spans="1:43" x14ac:dyDescent="0.35">
      <c r="B66" s="27" t="s">
        <v>67</v>
      </c>
      <c r="G66" s="59">
        <f>G65/G63</f>
        <v>0</v>
      </c>
      <c r="H66" s="59"/>
      <c r="I66" s="59">
        <f t="shared" ref="I66:AL66" si="35">I65/I63</f>
        <v>0</v>
      </c>
      <c r="J66" s="59">
        <f t="shared" si="35"/>
        <v>0</v>
      </c>
      <c r="K66" s="59">
        <f t="shared" si="35"/>
        <v>0</v>
      </c>
      <c r="L66" s="59">
        <f t="shared" si="35"/>
        <v>0</v>
      </c>
      <c r="M66" s="59">
        <f t="shared" si="35"/>
        <v>0.16046260611996604</v>
      </c>
      <c r="N66" s="59">
        <f t="shared" si="35"/>
        <v>0.15979472810362097</v>
      </c>
      <c r="O66" s="59">
        <f t="shared" si="35"/>
        <v>0.15965344727173519</v>
      </c>
      <c r="P66" s="59">
        <f t="shared" si="35"/>
        <v>0.15933898830672422</v>
      </c>
      <c r="Q66" s="59">
        <f t="shared" si="35"/>
        <v>0.15886322530111224</v>
      </c>
      <c r="R66" s="59">
        <f t="shared" si="35"/>
        <v>0.16299299631019151</v>
      </c>
      <c r="S66" s="59">
        <f t="shared" si="35"/>
        <v>0.15484671272756731</v>
      </c>
      <c r="T66" s="59">
        <f t="shared" si="35"/>
        <v>0.1470649947824901</v>
      </c>
      <c r="U66" s="59">
        <f t="shared" si="35"/>
        <v>0.13963250154933562</v>
      </c>
      <c r="V66" s="59">
        <f t="shared" si="35"/>
        <v>0.13253451275374883</v>
      </c>
      <c r="W66" s="59">
        <f t="shared" si="35"/>
        <v>0.12575690433935408</v>
      </c>
      <c r="X66" s="59">
        <f t="shared" si="35"/>
        <v>0.11928612497721207</v>
      </c>
      <c r="Y66" s="59">
        <f t="shared" si="35"/>
        <v>0.11310917348220487</v>
      </c>
      <c r="Z66" s="59">
        <f t="shared" si="35"/>
        <v>0.10721357710187156</v>
      </c>
      <c r="AA66" s="59">
        <f t="shared" si="35"/>
        <v>0.10158737064451315</v>
      </c>
      <c r="AB66" s="59">
        <f t="shared" si="35"/>
        <v>9.6219076414638588E-2</v>
      </c>
      <c r="AC66" s="59">
        <f t="shared" si="35"/>
        <v>9.1097684925004863E-2</v>
      </c>
      <c r="AD66" s="59">
        <f t="shared" si="35"/>
        <v>8.6212636355688016E-2</v>
      </c>
      <c r="AE66" s="59">
        <f t="shared" si="35"/>
        <v>8.1553802731703443E-2</v>
      </c>
      <c r="AF66" s="59">
        <f t="shared" si="35"/>
        <v>7.7111470791792702E-2</v>
      </c>
      <c r="AG66" s="59">
        <f t="shared" si="35"/>
        <v>7.2876325522002974E-2</v>
      </c>
      <c r="AH66" s="59">
        <f t="shared" si="35"/>
        <v>6.8839434328692203E-2</v>
      </c>
      <c r="AI66" s="59">
        <f t="shared" si="35"/>
        <v>6.4992231826544219E-2</v>
      </c>
      <c r="AJ66" s="59">
        <f t="shared" si="35"/>
        <v>6.1326505218095545E-2</v>
      </c>
      <c r="AK66" s="59">
        <f t="shared" si="35"/>
        <v>5.7834380242165265E-2</v>
      </c>
      <c r="AL66" s="59">
        <f t="shared" si="35"/>
        <v>5.4508307669431558E-2</v>
      </c>
      <c r="AM66" s="59">
        <f t="shared" ref="AM66:AQ66" si="36">AM65/AM63</f>
        <v>5.1341050324215626E-2</v>
      </c>
      <c r="AN66" s="59">
        <f t="shared" si="36"/>
        <v>4.8325670612331437E-2</v>
      </c>
      <c r="AO66" s="59">
        <f t="shared" si="36"/>
        <v>4.5455518535611569E-2</v>
      </c>
      <c r="AP66" s="59">
        <f t="shared" si="36"/>
        <v>4.2724220174458642E-2</v>
      </c>
      <c r="AQ66" s="59">
        <f t="shared" si="36"/>
        <v>4.0125666620474593E-2</v>
      </c>
    </row>
    <row r="67" spans="1:43" x14ac:dyDescent="0.35">
      <c r="B67" s="27"/>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row>
    <row r="68" spans="1:43" s="138" customFormat="1" x14ac:dyDescent="0.35">
      <c r="A68" s="147" t="s">
        <v>77</v>
      </c>
      <c r="E68" s="148"/>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row>
    <row r="69" spans="1:43" x14ac:dyDescent="0.35">
      <c r="B69" s="27" t="s">
        <v>280</v>
      </c>
      <c r="F69" s="51"/>
      <c r="G69" s="60">
        <f>IF(AND(G48&gt;=90000, G82&gt;0), G82, 0)</f>
        <v>0</v>
      </c>
      <c r="H69" s="60"/>
      <c r="I69" s="60">
        <f t="shared" ref="I69:AL69" si="37">IF(AND(I48&gt;=90000, I82&gt;0), I82, 0)</f>
        <v>0</v>
      </c>
      <c r="J69" s="60">
        <f t="shared" si="37"/>
        <v>0</v>
      </c>
      <c r="K69" s="60">
        <f t="shared" si="37"/>
        <v>0</v>
      </c>
      <c r="L69" s="60">
        <f t="shared" si="37"/>
        <v>0</v>
      </c>
      <c r="M69" s="60">
        <f t="shared" si="37"/>
        <v>0</v>
      </c>
      <c r="N69" s="60">
        <f t="shared" si="37"/>
        <v>0</v>
      </c>
      <c r="O69" s="60">
        <f t="shared" si="37"/>
        <v>0</v>
      </c>
      <c r="P69" s="60">
        <f t="shared" si="37"/>
        <v>0</v>
      </c>
      <c r="Q69" s="60">
        <f t="shared" si="37"/>
        <v>0</v>
      </c>
      <c r="R69" s="60">
        <f t="shared" si="37"/>
        <v>0</v>
      </c>
      <c r="S69" s="60">
        <f t="shared" si="37"/>
        <v>0</v>
      </c>
      <c r="T69" s="60">
        <f t="shared" si="37"/>
        <v>0</v>
      </c>
      <c r="U69" s="60">
        <f t="shared" si="37"/>
        <v>0</v>
      </c>
      <c r="V69" s="60">
        <f t="shared" si="37"/>
        <v>0</v>
      </c>
      <c r="W69" s="60">
        <f t="shared" si="37"/>
        <v>0</v>
      </c>
      <c r="X69" s="60">
        <f t="shared" si="37"/>
        <v>0</v>
      </c>
      <c r="Y69" s="60">
        <f t="shared" si="37"/>
        <v>0</v>
      </c>
      <c r="Z69" s="60">
        <f t="shared" si="37"/>
        <v>0</v>
      </c>
      <c r="AA69" s="60">
        <f t="shared" si="37"/>
        <v>0</v>
      </c>
      <c r="AB69" s="60">
        <f t="shared" si="37"/>
        <v>0</v>
      </c>
      <c r="AC69" s="60">
        <f t="shared" si="37"/>
        <v>0</v>
      </c>
      <c r="AD69" s="60">
        <f t="shared" si="37"/>
        <v>0</v>
      </c>
      <c r="AE69" s="60">
        <f t="shared" si="37"/>
        <v>0</v>
      </c>
      <c r="AF69" s="60">
        <f t="shared" si="37"/>
        <v>0</v>
      </c>
      <c r="AG69" s="60">
        <f t="shared" si="37"/>
        <v>0</v>
      </c>
      <c r="AH69" s="60">
        <f t="shared" si="37"/>
        <v>0</v>
      </c>
      <c r="AI69" s="60">
        <f t="shared" si="37"/>
        <v>0</v>
      </c>
      <c r="AJ69" s="60">
        <f t="shared" si="37"/>
        <v>0</v>
      </c>
      <c r="AK69" s="60">
        <f t="shared" si="37"/>
        <v>0</v>
      </c>
      <c r="AL69" s="60">
        <f t="shared" si="37"/>
        <v>0</v>
      </c>
      <c r="AM69" s="60">
        <f t="shared" ref="AM69:AQ69" si="38">IF(AND(AM48&gt;=90000, AM82&gt;0), AM82, 0)</f>
        <v>0</v>
      </c>
      <c r="AN69" s="60">
        <f t="shared" si="38"/>
        <v>0</v>
      </c>
      <c r="AO69" s="60">
        <f t="shared" si="38"/>
        <v>0</v>
      </c>
      <c r="AP69" s="60">
        <f t="shared" si="38"/>
        <v>0</v>
      </c>
      <c r="AQ69" s="60">
        <f t="shared" si="38"/>
        <v>0</v>
      </c>
    </row>
    <row r="70" spans="1:43" x14ac:dyDescent="0.35">
      <c r="B70" s="27" t="s">
        <v>79</v>
      </c>
      <c r="F70" s="51"/>
      <c r="G70" s="60">
        <f>IF(AND(G48&gt;=90000, G83&gt;0), G83, 0)</f>
        <v>0</v>
      </c>
      <c r="H70" s="60"/>
      <c r="I70" s="60">
        <f t="shared" ref="I70:AL70" si="39">IF(AND(I48&gt;=90000, I83&gt;0), I83, 0)</f>
        <v>0</v>
      </c>
      <c r="J70" s="60">
        <f t="shared" si="39"/>
        <v>0</v>
      </c>
      <c r="K70" s="60">
        <f t="shared" si="39"/>
        <v>0</v>
      </c>
      <c r="L70" s="60">
        <f t="shared" si="39"/>
        <v>0</v>
      </c>
      <c r="M70" s="60">
        <f t="shared" si="39"/>
        <v>0</v>
      </c>
      <c r="N70" s="60">
        <f t="shared" si="39"/>
        <v>0</v>
      </c>
      <c r="O70" s="60">
        <f t="shared" si="39"/>
        <v>0</v>
      </c>
      <c r="P70" s="60">
        <f t="shared" si="39"/>
        <v>0</v>
      </c>
      <c r="Q70" s="60">
        <f t="shared" si="39"/>
        <v>0</v>
      </c>
      <c r="R70" s="60">
        <f t="shared" si="39"/>
        <v>0</v>
      </c>
      <c r="S70" s="60">
        <f t="shared" si="39"/>
        <v>0</v>
      </c>
      <c r="T70" s="60">
        <f t="shared" si="39"/>
        <v>0</v>
      </c>
      <c r="U70" s="60">
        <f t="shared" si="39"/>
        <v>0</v>
      </c>
      <c r="V70" s="60">
        <f t="shared" si="39"/>
        <v>0</v>
      </c>
      <c r="W70" s="60">
        <f t="shared" si="39"/>
        <v>0</v>
      </c>
      <c r="X70" s="60">
        <f t="shared" si="39"/>
        <v>0</v>
      </c>
      <c r="Y70" s="60">
        <f t="shared" si="39"/>
        <v>0</v>
      </c>
      <c r="Z70" s="60">
        <f t="shared" si="39"/>
        <v>0</v>
      </c>
      <c r="AA70" s="60">
        <f t="shared" si="39"/>
        <v>0</v>
      </c>
      <c r="AB70" s="60">
        <f t="shared" si="39"/>
        <v>0</v>
      </c>
      <c r="AC70" s="60">
        <f t="shared" si="39"/>
        <v>0</v>
      </c>
      <c r="AD70" s="60">
        <f t="shared" si="39"/>
        <v>0</v>
      </c>
      <c r="AE70" s="60">
        <f t="shared" si="39"/>
        <v>0</v>
      </c>
      <c r="AF70" s="60">
        <f t="shared" si="39"/>
        <v>0</v>
      </c>
      <c r="AG70" s="60">
        <f t="shared" si="39"/>
        <v>0</v>
      </c>
      <c r="AH70" s="60">
        <f t="shared" si="39"/>
        <v>0</v>
      </c>
      <c r="AI70" s="60">
        <f t="shared" si="39"/>
        <v>0</v>
      </c>
      <c r="AJ70" s="60">
        <f t="shared" si="39"/>
        <v>0</v>
      </c>
      <c r="AK70" s="60">
        <f t="shared" si="39"/>
        <v>0</v>
      </c>
      <c r="AL70" s="60">
        <f t="shared" si="39"/>
        <v>0</v>
      </c>
      <c r="AM70" s="60">
        <f t="shared" ref="AM70:AQ70" si="40">IF(AND(AM48&gt;=90000, AM83&gt;0), AM83, 0)</f>
        <v>0</v>
      </c>
      <c r="AN70" s="60">
        <f t="shared" si="40"/>
        <v>0</v>
      </c>
      <c r="AO70" s="60">
        <f t="shared" si="40"/>
        <v>0</v>
      </c>
      <c r="AP70" s="60">
        <f t="shared" si="40"/>
        <v>0</v>
      </c>
      <c r="AQ70" s="60">
        <f t="shared" si="40"/>
        <v>0</v>
      </c>
    </row>
    <row r="71" spans="1:43" x14ac:dyDescent="0.35">
      <c r="B71" s="27" t="s">
        <v>281</v>
      </c>
      <c r="F71" s="51"/>
      <c r="G71" s="60">
        <f>IF(AND(G48&gt;=47000, G48&lt;90000, G86&gt;0), G86, 0)</f>
        <v>0</v>
      </c>
      <c r="H71" s="60"/>
      <c r="I71" s="60">
        <f t="shared" ref="I71:AL71" si="41">IF(AND(I48&gt;=47000, I48&lt;90000, I86&gt;0), I86, 0)</f>
        <v>0</v>
      </c>
      <c r="J71" s="60">
        <f t="shared" si="41"/>
        <v>0</v>
      </c>
      <c r="K71" s="60">
        <f t="shared" si="41"/>
        <v>0</v>
      </c>
      <c r="L71" s="60">
        <f t="shared" si="41"/>
        <v>0</v>
      </c>
      <c r="M71" s="60">
        <f t="shared" si="41"/>
        <v>0</v>
      </c>
      <c r="N71" s="60">
        <f t="shared" si="41"/>
        <v>0</v>
      </c>
      <c r="O71" s="60">
        <f t="shared" si="41"/>
        <v>0</v>
      </c>
      <c r="P71" s="60">
        <f t="shared" si="41"/>
        <v>0</v>
      </c>
      <c r="Q71" s="60">
        <f t="shared" si="41"/>
        <v>0</v>
      </c>
      <c r="R71" s="60">
        <f t="shared" si="41"/>
        <v>0</v>
      </c>
      <c r="S71" s="60">
        <f t="shared" si="41"/>
        <v>0</v>
      </c>
      <c r="T71" s="60">
        <f t="shared" si="41"/>
        <v>0</v>
      </c>
      <c r="U71" s="60">
        <f t="shared" si="41"/>
        <v>0</v>
      </c>
      <c r="V71" s="60">
        <f t="shared" si="41"/>
        <v>0</v>
      </c>
      <c r="W71" s="60">
        <f t="shared" si="41"/>
        <v>0</v>
      </c>
      <c r="X71" s="60">
        <f t="shared" si="41"/>
        <v>0</v>
      </c>
      <c r="Y71" s="60">
        <f t="shared" si="41"/>
        <v>0</v>
      </c>
      <c r="Z71" s="60">
        <f t="shared" si="41"/>
        <v>0</v>
      </c>
      <c r="AA71" s="60">
        <f t="shared" si="41"/>
        <v>0</v>
      </c>
      <c r="AB71" s="60">
        <f t="shared" si="41"/>
        <v>0</v>
      </c>
      <c r="AC71" s="60">
        <f t="shared" si="41"/>
        <v>0</v>
      </c>
      <c r="AD71" s="60">
        <f t="shared" si="41"/>
        <v>0</v>
      </c>
      <c r="AE71" s="60">
        <f t="shared" si="41"/>
        <v>0</v>
      </c>
      <c r="AF71" s="60">
        <f t="shared" si="41"/>
        <v>0</v>
      </c>
      <c r="AG71" s="60">
        <f t="shared" si="41"/>
        <v>0</v>
      </c>
      <c r="AH71" s="60">
        <f t="shared" si="41"/>
        <v>0</v>
      </c>
      <c r="AI71" s="60">
        <f t="shared" si="41"/>
        <v>0</v>
      </c>
      <c r="AJ71" s="60">
        <f t="shared" si="41"/>
        <v>0</v>
      </c>
      <c r="AK71" s="60">
        <f t="shared" si="41"/>
        <v>0</v>
      </c>
      <c r="AL71" s="60">
        <f t="shared" si="41"/>
        <v>0</v>
      </c>
      <c r="AM71" s="60">
        <f t="shared" ref="AM71:AQ71" si="42">IF(AND(AM48&gt;=47000, AM48&lt;90000, AM86&gt;0), AM86, 0)</f>
        <v>0</v>
      </c>
      <c r="AN71" s="60">
        <f t="shared" si="42"/>
        <v>0</v>
      </c>
      <c r="AO71" s="60">
        <f t="shared" si="42"/>
        <v>0</v>
      </c>
      <c r="AP71" s="60">
        <f t="shared" si="42"/>
        <v>0</v>
      </c>
      <c r="AQ71" s="60">
        <f t="shared" si="42"/>
        <v>0</v>
      </c>
    </row>
    <row r="72" spans="1:43" x14ac:dyDescent="0.35">
      <c r="B72" s="27" t="s">
        <v>81</v>
      </c>
      <c r="F72" s="51"/>
      <c r="G72" s="60">
        <f>IF(AND(G48&gt;=47000, G48&lt;90000, G87&gt;0), G87, 0)</f>
        <v>0</v>
      </c>
      <c r="H72" s="60"/>
      <c r="I72" s="60">
        <f t="shared" ref="I72:AL72" si="43">IF(AND(I48&gt;=47000, I48&lt;90000, I87&gt;0), I87, 0)</f>
        <v>0</v>
      </c>
      <c r="J72" s="60">
        <f t="shared" si="43"/>
        <v>0</v>
      </c>
      <c r="K72" s="60">
        <f t="shared" si="43"/>
        <v>0</v>
      </c>
      <c r="L72" s="60">
        <f t="shared" si="43"/>
        <v>0</v>
      </c>
      <c r="M72" s="60">
        <f t="shared" si="43"/>
        <v>0</v>
      </c>
      <c r="N72" s="60">
        <f t="shared" si="43"/>
        <v>0</v>
      </c>
      <c r="O72" s="60">
        <f t="shared" si="43"/>
        <v>0</v>
      </c>
      <c r="P72" s="60">
        <f t="shared" si="43"/>
        <v>0</v>
      </c>
      <c r="Q72" s="60">
        <f t="shared" si="43"/>
        <v>0</v>
      </c>
      <c r="R72" s="60">
        <f t="shared" si="43"/>
        <v>0</v>
      </c>
      <c r="S72" s="60">
        <f t="shared" si="43"/>
        <v>0</v>
      </c>
      <c r="T72" s="60">
        <f t="shared" si="43"/>
        <v>0</v>
      </c>
      <c r="U72" s="60">
        <f t="shared" si="43"/>
        <v>0</v>
      </c>
      <c r="V72" s="60">
        <f t="shared" si="43"/>
        <v>0</v>
      </c>
      <c r="W72" s="60">
        <f t="shared" si="43"/>
        <v>0</v>
      </c>
      <c r="X72" s="60">
        <f t="shared" si="43"/>
        <v>0</v>
      </c>
      <c r="Y72" s="60">
        <f t="shared" si="43"/>
        <v>0</v>
      </c>
      <c r="Z72" s="60">
        <f t="shared" si="43"/>
        <v>0</v>
      </c>
      <c r="AA72" s="60">
        <f t="shared" si="43"/>
        <v>0</v>
      </c>
      <c r="AB72" s="60">
        <f t="shared" si="43"/>
        <v>0</v>
      </c>
      <c r="AC72" s="60">
        <f t="shared" si="43"/>
        <v>0</v>
      </c>
      <c r="AD72" s="60">
        <f t="shared" si="43"/>
        <v>0</v>
      </c>
      <c r="AE72" s="60">
        <f t="shared" si="43"/>
        <v>0</v>
      </c>
      <c r="AF72" s="60">
        <f t="shared" si="43"/>
        <v>0</v>
      </c>
      <c r="AG72" s="60">
        <f t="shared" si="43"/>
        <v>0</v>
      </c>
      <c r="AH72" s="60">
        <f t="shared" si="43"/>
        <v>0</v>
      </c>
      <c r="AI72" s="60">
        <f t="shared" si="43"/>
        <v>0</v>
      </c>
      <c r="AJ72" s="60">
        <f t="shared" si="43"/>
        <v>0</v>
      </c>
      <c r="AK72" s="60">
        <f t="shared" si="43"/>
        <v>0</v>
      </c>
      <c r="AL72" s="60">
        <f t="shared" si="43"/>
        <v>0</v>
      </c>
      <c r="AM72" s="60">
        <f t="shared" ref="AM72:AQ72" si="44">IF(AND(AM48&gt;=47000, AM48&lt;90000, AM87&gt;0), AM87, 0)</f>
        <v>0</v>
      </c>
      <c r="AN72" s="60">
        <f t="shared" si="44"/>
        <v>0</v>
      </c>
      <c r="AO72" s="60">
        <f t="shared" si="44"/>
        <v>0</v>
      </c>
      <c r="AP72" s="60">
        <f t="shared" si="44"/>
        <v>0</v>
      </c>
      <c r="AQ72" s="60">
        <f t="shared" si="44"/>
        <v>0</v>
      </c>
    </row>
    <row r="73" spans="1:43" x14ac:dyDescent="0.35">
      <c r="B73" s="27" t="s">
        <v>282</v>
      </c>
      <c r="G73" s="60">
        <f>IF(AND(G48&lt;=47000, (G92+G103)&gt;0), (G92+G103), 0)</f>
        <v>0</v>
      </c>
      <c r="H73" s="60"/>
      <c r="I73" s="60">
        <f t="shared" ref="I73:AL73" si="45">IF(AND(I48&lt;=47000, (I92+I103)&gt;0), (I92+I103), 0)</f>
        <v>0</v>
      </c>
      <c r="J73" s="60">
        <f t="shared" si="45"/>
        <v>0</v>
      </c>
      <c r="K73" s="60">
        <f t="shared" si="45"/>
        <v>0</v>
      </c>
      <c r="L73" s="60">
        <f t="shared" si="45"/>
        <v>0</v>
      </c>
      <c r="M73" s="60">
        <f t="shared" si="45"/>
        <v>0</v>
      </c>
      <c r="N73" s="60">
        <f t="shared" si="45"/>
        <v>0</v>
      </c>
      <c r="O73" s="60">
        <f t="shared" si="45"/>
        <v>0</v>
      </c>
      <c r="P73" s="60">
        <f t="shared" si="45"/>
        <v>0</v>
      </c>
      <c r="Q73" s="60">
        <f t="shared" si="45"/>
        <v>0</v>
      </c>
      <c r="R73" s="60">
        <f t="shared" si="45"/>
        <v>0</v>
      </c>
      <c r="S73" s="60">
        <f t="shared" si="45"/>
        <v>0</v>
      </c>
      <c r="T73" s="60">
        <f t="shared" si="45"/>
        <v>0</v>
      </c>
      <c r="U73" s="60">
        <f t="shared" si="45"/>
        <v>0</v>
      </c>
      <c r="V73" s="60">
        <f t="shared" si="45"/>
        <v>0</v>
      </c>
      <c r="W73" s="60">
        <f t="shared" si="45"/>
        <v>0</v>
      </c>
      <c r="X73" s="60">
        <f t="shared" si="45"/>
        <v>0</v>
      </c>
      <c r="Y73" s="60">
        <f t="shared" si="45"/>
        <v>0</v>
      </c>
      <c r="Z73" s="60">
        <f t="shared" si="45"/>
        <v>0</v>
      </c>
      <c r="AA73" s="60">
        <f t="shared" si="45"/>
        <v>0</v>
      </c>
      <c r="AB73" s="60">
        <f t="shared" si="45"/>
        <v>0</v>
      </c>
      <c r="AC73" s="60">
        <f t="shared" si="45"/>
        <v>0</v>
      </c>
      <c r="AD73" s="60">
        <f t="shared" si="45"/>
        <v>0</v>
      </c>
      <c r="AE73" s="60">
        <f t="shared" si="45"/>
        <v>0</v>
      </c>
      <c r="AF73" s="60">
        <f t="shared" si="45"/>
        <v>0</v>
      </c>
      <c r="AG73" s="60">
        <f t="shared" si="45"/>
        <v>0</v>
      </c>
      <c r="AH73" s="60">
        <f t="shared" si="45"/>
        <v>0</v>
      </c>
      <c r="AI73" s="60">
        <f t="shared" si="45"/>
        <v>0</v>
      </c>
      <c r="AJ73" s="60">
        <f t="shared" si="45"/>
        <v>0</v>
      </c>
      <c r="AK73" s="60">
        <f t="shared" si="45"/>
        <v>0</v>
      </c>
      <c r="AL73" s="60">
        <f t="shared" si="45"/>
        <v>0</v>
      </c>
      <c r="AM73" s="60">
        <f t="shared" ref="AM73:AQ73" si="46">IF(AND(AM48&lt;=47000, (AM92+AM103)&gt;0), (AM92+AM103), 0)</f>
        <v>0</v>
      </c>
      <c r="AN73" s="60">
        <f t="shared" si="46"/>
        <v>0</v>
      </c>
      <c r="AO73" s="60">
        <f t="shared" si="46"/>
        <v>0</v>
      </c>
      <c r="AP73" s="60">
        <f t="shared" si="46"/>
        <v>0</v>
      </c>
      <c r="AQ73" s="60">
        <f t="shared" si="46"/>
        <v>0</v>
      </c>
    </row>
    <row r="74" spans="1:43" x14ac:dyDescent="0.35">
      <c r="B74" s="27" t="s">
        <v>83</v>
      </c>
      <c r="G74" s="60">
        <f>IF(AND(G48&lt;=47000, (G95+G104)&gt;0), (G95+G104), 0)</f>
        <v>0</v>
      </c>
      <c r="H74" s="60"/>
      <c r="I74" s="60">
        <f t="shared" ref="I74:AL74" si="47">IF(AND(I48&lt;=47000, (I95+I104)&gt;0), (I95+I104), 0)</f>
        <v>0</v>
      </c>
      <c r="J74" s="60">
        <f t="shared" si="47"/>
        <v>0</v>
      </c>
      <c r="K74" s="60">
        <f t="shared" si="47"/>
        <v>0</v>
      </c>
      <c r="L74" s="60">
        <f t="shared" si="47"/>
        <v>0</v>
      </c>
      <c r="M74" s="60">
        <f t="shared" si="47"/>
        <v>0</v>
      </c>
      <c r="N74" s="60">
        <f t="shared" si="47"/>
        <v>0</v>
      </c>
      <c r="O74" s="60">
        <f t="shared" si="47"/>
        <v>0</v>
      </c>
      <c r="P74" s="60">
        <f t="shared" si="47"/>
        <v>0</v>
      </c>
      <c r="Q74" s="60">
        <f t="shared" si="47"/>
        <v>0</v>
      </c>
      <c r="R74" s="60">
        <f t="shared" si="47"/>
        <v>0</v>
      </c>
      <c r="S74" s="60">
        <f t="shared" si="47"/>
        <v>0</v>
      </c>
      <c r="T74" s="60">
        <f t="shared" si="47"/>
        <v>0</v>
      </c>
      <c r="U74" s="60">
        <f t="shared" si="47"/>
        <v>0</v>
      </c>
      <c r="V74" s="60">
        <f t="shared" si="47"/>
        <v>0</v>
      </c>
      <c r="W74" s="60">
        <f t="shared" si="47"/>
        <v>0</v>
      </c>
      <c r="X74" s="60">
        <f t="shared" si="47"/>
        <v>0</v>
      </c>
      <c r="Y74" s="60">
        <f t="shared" si="47"/>
        <v>0</v>
      </c>
      <c r="Z74" s="60">
        <f t="shared" si="47"/>
        <v>0</v>
      </c>
      <c r="AA74" s="60">
        <f t="shared" si="47"/>
        <v>0</v>
      </c>
      <c r="AB74" s="60">
        <f t="shared" si="47"/>
        <v>0</v>
      </c>
      <c r="AC74" s="60">
        <f t="shared" si="47"/>
        <v>0</v>
      </c>
      <c r="AD74" s="60">
        <f t="shared" si="47"/>
        <v>0</v>
      </c>
      <c r="AE74" s="60">
        <f t="shared" si="47"/>
        <v>0</v>
      </c>
      <c r="AF74" s="60">
        <f t="shared" si="47"/>
        <v>0</v>
      </c>
      <c r="AG74" s="60">
        <f t="shared" si="47"/>
        <v>0</v>
      </c>
      <c r="AH74" s="60">
        <f t="shared" si="47"/>
        <v>0</v>
      </c>
      <c r="AI74" s="60">
        <f t="shared" si="47"/>
        <v>0</v>
      </c>
      <c r="AJ74" s="60">
        <f t="shared" si="47"/>
        <v>0</v>
      </c>
      <c r="AK74" s="60">
        <f t="shared" si="47"/>
        <v>0</v>
      </c>
      <c r="AL74" s="60">
        <f t="shared" si="47"/>
        <v>0</v>
      </c>
      <c r="AM74" s="60">
        <f t="shared" ref="AM74:AQ74" si="48">IF(AND(AM48&lt;=47000, (AM95+AM104)&gt;0), (AM95+AM104), 0)</f>
        <v>0</v>
      </c>
      <c r="AN74" s="60">
        <f t="shared" si="48"/>
        <v>0</v>
      </c>
      <c r="AO74" s="60">
        <f t="shared" si="48"/>
        <v>0</v>
      </c>
      <c r="AP74" s="60">
        <f t="shared" si="48"/>
        <v>0</v>
      </c>
      <c r="AQ74" s="60">
        <f t="shared" si="48"/>
        <v>0</v>
      </c>
    </row>
    <row r="75" spans="1:43" x14ac:dyDescent="0.35">
      <c r="B75" s="27" t="s">
        <v>283</v>
      </c>
      <c r="G75" s="62">
        <f>IF(G106&gt;=5600, 5600, G106)</f>
        <v>0</v>
      </c>
      <c r="H75" s="62"/>
      <c r="I75" s="62">
        <f>IF(I106&gt;=5600, 5600, I106)</f>
        <v>0</v>
      </c>
      <c r="J75" s="62">
        <f t="shared" ref="J75:AL75" si="49">IF(J106&gt;=5600, 5600, J106)</f>
        <v>0</v>
      </c>
      <c r="K75" s="62">
        <f t="shared" si="49"/>
        <v>0</v>
      </c>
      <c r="L75" s="62">
        <f t="shared" si="49"/>
        <v>0</v>
      </c>
      <c r="M75" s="62">
        <f t="shared" si="49"/>
        <v>0</v>
      </c>
      <c r="N75" s="62">
        <f t="shared" si="49"/>
        <v>0</v>
      </c>
      <c r="O75" s="62">
        <f t="shared" si="49"/>
        <v>0</v>
      </c>
      <c r="P75" s="62">
        <f t="shared" si="49"/>
        <v>0</v>
      </c>
      <c r="Q75" s="62">
        <f t="shared" si="49"/>
        <v>0</v>
      </c>
      <c r="R75" s="62">
        <f t="shared" si="49"/>
        <v>0</v>
      </c>
      <c r="S75" s="62">
        <f t="shared" si="49"/>
        <v>0</v>
      </c>
      <c r="T75" s="62">
        <f t="shared" si="49"/>
        <v>0</v>
      </c>
      <c r="U75" s="62">
        <f t="shared" si="49"/>
        <v>0</v>
      </c>
      <c r="V75" s="62">
        <f t="shared" si="49"/>
        <v>0</v>
      </c>
      <c r="W75" s="62">
        <f t="shared" si="49"/>
        <v>0</v>
      </c>
      <c r="X75" s="62">
        <f t="shared" si="49"/>
        <v>0</v>
      </c>
      <c r="Y75" s="62">
        <f t="shared" si="49"/>
        <v>0</v>
      </c>
      <c r="Z75" s="62">
        <f t="shared" si="49"/>
        <v>0</v>
      </c>
      <c r="AA75" s="62">
        <f t="shared" si="49"/>
        <v>0</v>
      </c>
      <c r="AB75" s="62">
        <f t="shared" si="49"/>
        <v>0</v>
      </c>
      <c r="AC75" s="62">
        <f t="shared" si="49"/>
        <v>0</v>
      </c>
      <c r="AD75" s="62">
        <f t="shared" si="49"/>
        <v>0</v>
      </c>
      <c r="AE75" s="62">
        <f t="shared" si="49"/>
        <v>0</v>
      </c>
      <c r="AF75" s="62">
        <f t="shared" si="49"/>
        <v>0</v>
      </c>
      <c r="AG75" s="62">
        <f t="shared" si="49"/>
        <v>0</v>
      </c>
      <c r="AH75" s="62">
        <f t="shared" si="49"/>
        <v>0</v>
      </c>
      <c r="AI75" s="62">
        <f t="shared" si="49"/>
        <v>0</v>
      </c>
      <c r="AJ75" s="62">
        <f t="shared" si="49"/>
        <v>0</v>
      </c>
      <c r="AK75" s="62">
        <f t="shared" si="49"/>
        <v>0</v>
      </c>
      <c r="AL75" s="62">
        <f t="shared" si="49"/>
        <v>0</v>
      </c>
      <c r="AM75" s="62">
        <f t="shared" ref="AM75:AQ75" si="50">IF(AM106&gt;=5600, 5600, AM106)</f>
        <v>0</v>
      </c>
      <c r="AN75" s="62">
        <f t="shared" si="50"/>
        <v>0</v>
      </c>
      <c r="AO75" s="62">
        <f t="shared" si="50"/>
        <v>0</v>
      </c>
      <c r="AP75" s="62">
        <f t="shared" si="50"/>
        <v>0</v>
      </c>
      <c r="AQ75" s="62">
        <f t="shared" si="50"/>
        <v>0</v>
      </c>
    </row>
    <row r="76" spans="1:43" x14ac:dyDescent="0.35">
      <c r="B76" s="27" t="s">
        <v>113</v>
      </c>
      <c r="G76" s="62">
        <f>IF(G107&gt;=5600, 5600, G107)</f>
        <v>0</v>
      </c>
      <c r="H76" s="62"/>
      <c r="I76" s="62">
        <f>IF(I107&gt;=5600, 5600, I107)</f>
        <v>0</v>
      </c>
      <c r="J76" s="62">
        <f>IF(J107&gt;=5600, 5600, J107)</f>
        <v>0</v>
      </c>
      <c r="K76" s="62">
        <f t="shared" ref="K76:AL76" si="51">IF(K107&gt;=5600, 5600, K107)</f>
        <v>0</v>
      </c>
      <c r="L76" s="62">
        <f t="shared" si="51"/>
        <v>0</v>
      </c>
      <c r="M76" s="62">
        <f t="shared" si="51"/>
        <v>0</v>
      </c>
      <c r="N76" s="62">
        <f t="shared" si="51"/>
        <v>0</v>
      </c>
      <c r="O76" s="62">
        <f t="shared" si="51"/>
        <v>0</v>
      </c>
      <c r="P76" s="62">
        <f t="shared" si="51"/>
        <v>0</v>
      </c>
      <c r="Q76" s="62">
        <f t="shared" si="51"/>
        <v>0</v>
      </c>
      <c r="R76" s="62">
        <f t="shared" si="51"/>
        <v>0</v>
      </c>
      <c r="S76" s="62">
        <f t="shared" si="51"/>
        <v>0</v>
      </c>
      <c r="T76" s="62">
        <f t="shared" si="51"/>
        <v>0</v>
      </c>
      <c r="U76" s="62">
        <f t="shared" si="51"/>
        <v>0</v>
      </c>
      <c r="V76" s="62">
        <f t="shared" si="51"/>
        <v>0</v>
      </c>
      <c r="W76" s="62">
        <f t="shared" si="51"/>
        <v>0</v>
      </c>
      <c r="X76" s="62">
        <f t="shared" si="51"/>
        <v>0</v>
      </c>
      <c r="Y76" s="62">
        <f t="shared" si="51"/>
        <v>0</v>
      </c>
      <c r="Z76" s="62">
        <f t="shared" si="51"/>
        <v>0</v>
      </c>
      <c r="AA76" s="62">
        <f t="shared" si="51"/>
        <v>0</v>
      </c>
      <c r="AB76" s="62">
        <f t="shared" si="51"/>
        <v>0</v>
      </c>
      <c r="AC76" s="62">
        <f t="shared" si="51"/>
        <v>0</v>
      </c>
      <c r="AD76" s="62">
        <f t="shared" si="51"/>
        <v>0</v>
      </c>
      <c r="AE76" s="62">
        <f t="shared" si="51"/>
        <v>0</v>
      </c>
      <c r="AF76" s="62">
        <f t="shared" si="51"/>
        <v>0</v>
      </c>
      <c r="AG76" s="62">
        <f t="shared" si="51"/>
        <v>0</v>
      </c>
      <c r="AH76" s="62">
        <f t="shared" si="51"/>
        <v>0</v>
      </c>
      <c r="AI76" s="62">
        <f t="shared" si="51"/>
        <v>0</v>
      </c>
      <c r="AJ76" s="62">
        <f t="shared" si="51"/>
        <v>0</v>
      </c>
      <c r="AK76" s="62">
        <f t="shared" si="51"/>
        <v>0</v>
      </c>
      <c r="AL76" s="62">
        <f t="shared" si="51"/>
        <v>0</v>
      </c>
      <c r="AM76" s="62">
        <f t="shared" ref="AM76:AQ76" si="52">IF(AM107&gt;=5600, 5600, AM107)</f>
        <v>0</v>
      </c>
      <c r="AN76" s="62">
        <f t="shared" si="52"/>
        <v>0</v>
      </c>
      <c r="AO76" s="62">
        <f t="shared" si="52"/>
        <v>0</v>
      </c>
      <c r="AP76" s="62">
        <f t="shared" si="52"/>
        <v>0</v>
      </c>
      <c r="AQ76" s="62">
        <f t="shared" si="52"/>
        <v>0</v>
      </c>
    </row>
    <row r="77" spans="1:43" x14ac:dyDescent="0.35">
      <c r="B77" s="27" t="s">
        <v>117</v>
      </c>
      <c r="G77" s="62">
        <f>IF(G100&gt;=2400, 2400, G100)</f>
        <v>2400</v>
      </c>
      <c r="H77" s="62"/>
      <c r="I77" s="62">
        <f>IF(I100&gt;=2400, 2400, I100)</f>
        <v>2400</v>
      </c>
      <c r="J77" s="62">
        <f t="shared" ref="J77:AL77" si="53">IF(J100&gt;=2400, 2400, J100)</f>
        <v>2400</v>
      </c>
      <c r="K77" s="62">
        <f t="shared" si="53"/>
        <v>2400</v>
      </c>
      <c r="L77" s="62">
        <f t="shared" si="53"/>
        <v>2400</v>
      </c>
      <c r="M77" s="62">
        <f t="shared" si="53"/>
        <v>2400</v>
      </c>
      <c r="N77" s="62">
        <f t="shared" si="53"/>
        <v>2400</v>
      </c>
      <c r="O77" s="62">
        <f t="shared" si="53"/>
        <v>2400</v>
      </c>
      <c r="P77" s="62">
        <f t="shared" si="53"/>
        <v>2400</v>
      </c>
      <c r="Q77" s="62">
        <f t="shared" si="53"/>
        <v>2400</v>
      </c>
      <c r="R77" s="62">
        <f t="shared" si="53"/>
        <v>2400</v>
      </c>
      <c r="S77" s="62">
        <f t="shared" si="53"/>
        <v>2400</v>
      </c>
      <c r="T77" s="62">
        <f t="shared" si="53"/>
        <v>2400</v>
      </c>
      <c r="U77" s="62">
        <f t="shared" si="53"/>
        <v>2400</v>
      </c>
      <c r="V77" s="62">
        <f t="shared" si="53"/>
        <v>2400</v>
      </c>
      <c r="W77" s="62">
        <f t="shared" si="53"/>
        <v>2400</v>
      </c>
      <c r="X77" s="62">
        <f t="shared" si="53"/>
        <v>2400</v>
      </c>
      <c r="Y77" s="62">
        <f t="shared" si="53"/>
        <v>2400</v>
      </c>
      <c r="Z77" s="62">
        <f t="shared" si="53"/>
        <v>2400</v>
      </c>
      <c r="AA77" s="62">
        <f t="shared" si="53"/>
        <v>2400</v>
      </c>
      <c r="AB77" s="62">
        <f t="shared" si="53"/>
        <v>2400</v>
      </c>
      <c r="AC77" s="62">
        <f t="shared" si="53"/>
        <v>2400</v>
      </c>
      <c r="AD77" s="62">
        <f t="shared" si="53"/>
        <v>2400</v>
      </c>
      <c r="AE77" s="62">
        <f t="shared" si="53"/>
        <v>2400</v>
      </c>
      <c r="AF77" s="62">
        <f t="shared" si="53"/>
        <v>2400</v>
      </c>
      <c r="AG77" s="62">
        <f t="shared" si="53"/>
        <v>2400</v>
      </c>
      <c r="AH77" s="62">
        <f t="shared" si="53"/>
        <v>2400</v>
      </c>
      <c r="AI77" s="62">
        <f t="shared" si="53"/>
        <v>2400</v>
      </c>
      <c r="AJ77" s="62">
        <f t="shared" si="53"/>
        <v>2400</v>
      </c>
      <c r="AK77" s="62">
        <f t="shared" si="53"/>
        <v>2400</v>
      </c>
      <c r="AL77" s="62">
        <f t="shared" si="53"/>
        <v>2400</v>
      </c>
      <c r="AM77" s="62">
        <f t="shared" ref="AM77:AQ77" si="54">IF(AM100&gt;=2400, 2400, AM100)</f>
        <v>2400</v>
      </c>
      <c r="AN77" s="62">
        <f t="shared" si="54"/>
        <v>2400</v>
      </c>
      <c r="AO77" s="62">
        <f t="shared" si="54"/>
        <v>2400</v>
      </c>
      <c r="AP77" s="62">
        <f t="shared" si="54"/>
        <v>2400</v>
      </c>
      <c r="AQ77" s="62">
        <f t="shared" si="54"/>
        <v>2400</v>
      </c>
    </row>
    <row r="78" spans="1:43" x14ac:dyDescent="0.35">
      <c r="B78" s="27"/>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row>
    <row r="79" spans="1:43" s="138" customFormat="1" x14ac:dyDescent="0.35">
      <c r="B79" s="150" t="s">
        <v>95</v>
      </c>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row>
    <row r="80" spans="1:43" x14ac:dyDescent="0.35">
      <c r="B80" s="53" t="s">
        <v>94</v>
      </c>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row>
    <row r="81" spans="2:43" x14ac:dyDescent="0.35">
      <c r="B81" s="52" t="s">
        <v>90</v>
      </c>
      <c r="G81" s="62">
        <f>IF((G49-225000)&gt;0,(G49-225000),0)</f>
        <v>324882.16810683429</v>
      </c>
      <c r="H81" s="62"/>
      <c r="I81" s="62">
        <f t="shared" ref="I81:AL81" si="55">IF((I49-225000)&gt;0,(I49-225000),0)</f>
        <v>324882.16810683429</v>
      </c>
      <c r="J81" s="62">
        <f t="shared" si="55"/>
        <v>324882.16810683429</v>
      </c>
      <c r="K81" s="62">
        <f t="shared" si="55"/>
        <v>324882.16810683429</v>
      </c>
      <c r="L81" s="62">
        <f t="shared" si="55"/>
        <v>324882.16810683429</v>
      </c>
      <c r="M81" s="62">
        <f t="shared" si="55"/>
        <v>324882.16810683429</v>
      </c>
      <c r="N81" s="62">
        <f t="shared" si="55"/>
        <v>324882.16810683429</v>
      </c>
      <c r="O81" s="62">
        <f t="shared" si="55"/>
        <v>324882.16810683429</v>
      </c>
      <c r="P81" s="62">
        <f t="shared" si="55"/>
        <v>324882.16810683429</v>
      </c>
      <c r="Q81" s="62">
        <f t="shared" si="55"/>
        <v>324882.16810683429</v>
      </c>
      <c r="R81" s="62">
        <f t="shared" si="55"/>
        <v>324882.16810683429</v>
      </c>
      <c r="S81" s="62">
        <f t="shared" si="55"/>
        <v>324882.16810683429</v>
      </c>
      <c r="T81" s="62">
        <f t="shared" si="55"/>
        <v>324882.16810683429</v>
      </c>
      <c r="U81" s="62">
        <f t="shared" si="55"/>
        <v>324882.16810683429</v>
      </c>
      <c r="V81" s="62">
        <f t="shared" si="55"/>
        <v>324882.16810683429</v>
      </c>
      <c r="W81" s="62">
        <f t="shared" si="55"/>
        <v>324882.16810683429</v>
      </c>
      <c r="X81" s="62">
        <f t="shared" si="55"/>
        <v>324882.16810683429</v>
      </c>
      <c r="Y81" s="62">
        <f t="shared" si="55"/>
        <v>324882.16810683429</v>
      </c>
      <c r="Z81" s="62">
        <f t="shared" si="55"/>
        <v>324882.16810683429</v>
      </c>
      <c r="AA81" s="62">
        <f t="shared" si="55"/>
        <v>324882.16810683429</v>
      </c>
      <c r="AB81" s="62">
        <f t="shared" si="55"/>
        <v>324882.16810683429</v>
      </c>
      <c r="AC81" s="62">
        <f t="shared" si="55"/>
        <v>324882.16810683429</v>
      </c>
      <c r="AD81" s="62">
        <f t="shared" si="55"/>
        <v>324882.16810683429</v>
      </c>
      <c r="AE81" s="62">
        <f t="shared" si="55"/>
        <v>324882.16810683429</v>
      </c>
      <c r="AF81" s="62">
        <f t="shared" si="55"/>
        <v>324882.16810683429</v>
      </c>
      <c r="AG81" s="62">
        <f t="shared" si="55"/>
        <v>324882.16810683429</v>
      </c>
      <c r="AH81" s="62">
        <f t="shared" si="55"/>
        <v>324882.16810683429</v>
      </c>
      <c r="AI81" s="62">
        <f t="shared" si="55"/>
        <v>324882.16810683429</v>
      </c>
      <c r="AJ81" s="62">
        <f t="shared" si="55"/>
        <v>324882.16810683429</v>
      </c>
      <c r="AK81" s="62">
        <f t="shared" si="55"/>
        <v>324882.16810683429</v>
      </c>
      <c r="AL81" s="62">
        <f t="shared" si="55"/>
        <v>324882.16810683429</v>
      </c>
      <c r="AM81" s="62">
        <f t="shared" ref="AM81:AQ81" si="56">IF((AM49-225000)&gt;0,(AM49-225000),0)</f>
        <v>324882.16810683429</v>
      </c>
      <c r="AN81" s="62">
        <f t="shared" si="56"/>
        <v>324882.16810683429</v>
      </c>
      <c r="AO81" s="62">
        <f t="shared" si="56"/>
        <v>324882.16810683429</v>
      </c>
      <c r="AP81" s="62">
        <f t="shared" si="56"/>
        <v>324882.16810683429</v>
      </c>
      <c r="AQ81" s="62">
        <f t="shared" si="56"/>
        <v>324882.16810683429</v>
      </c>
    </row>
    <row r="82" spans="2:43" x14ac:dyDescent="0.35">
      <c r="B82" s="52" t="s">
        <v>85</v>
      </c>
      <c r="G82" s="62">
        <f>G63-(((G29*G48/100))+(G81*G42/100))</f>
        <v>-1018.4626788592504</v>
      </c>
      <c r="H82" s="62"/>
      <c r="I82" s="62">
        <f t="shared" ref="I82:AL82" si="57">I63-(((I29*I48/100))+(I81*I42/100))</f>
        <v>-1105.0653806560331</v>
      </c>
      <c r="J82" s="62">
        <f t="shared" si="57"/>
        <v>-1191.131645780335</v>
      </c>
      <c r="K82" s="62">
        <f t="shared" si="57"/>
        <v>-1199.4223424795291</v>
      </c>
      <c r="L82" s="62">
        <f t="shared" si="57"/>
        <v>-1223.8195979115862</v>
      </c>
      <c r="M82" s="62">
        <f t="shared" si="57"/>
        <v>-1260.3628424808358</v>
      </c>
      <c r="N82" s="62">
        <f t="shared" si="57"/>
        <v>-1265.9824556866333</v>
      </c>
      <c r="O82" s="62">
        <f t="shared" si="57"/>
        <v>-1265.9824556866333</v>
      </c>
      <c r="P82" s="62">
        <f t="shared" si="57"/>
        <v>-1265.9824556866333</v>
      </c>
      <c r="Q82" s="62">
        <f t="shared" si="57"/>
        <v>-1265.9824556866333</v>
      </c>
      <c r="R82" s="62">
        <f t="shared" si="57"/>
        <v>-1265.9824556866315</v>
      </c>
      <c r="S82" s="62">
        <f t="shared" si="57"/>
        <v>-1265.9824556866333</v>
      </c>
      <c r="T82" s="62">
        <f t="shared" si="57"/>
        <v>-1265.9824556866333</v>
      </c>
      <c r="U82" s="62">
        <f t="shared" si="57"/>
        <v>-1265.9824556866333</v>
      </c>
      <c r="V82" s="62">
        <f t="shared" si="57"/>
        <v>-1265.9824556866333</v>
      </c>
      <c r="W82" s="62">
        <f t="shared" si="57"/>
        <v>-1265.9824556866315</v>
      </c>
      <c r="X82" s="62">
        <f t="shared" si="57"/>
        <v>-1265.9824556866333</v>
      </c>
      <c r="Y82" s="62">
        <f t="shared" si="57"/>
        <v>-1265.9824556866333</v>
      </c>
      <c r="Z82" s="62">
        <f t="shared" si="57"/>
        <v>-1265.9824556866333</v>
      </c>
      <c r="AA82" s="62">
        <f t="shared" si="57"/>
        <v>-1265.9824556866333</v>
      </c>
      <c r="AB82" s="62">
        <f t="shared" si="57"/>
        <v>-1265.9824556866333</v>
      </c>
      <c r="AC82" s="62">
        <f t="shared" si="57"/>
        <v>-1265.9824556866333</v>
      </c>
      <c r="AD82" s="62">
        <f t="shared" si="57"/>
        <v>-1265.9824556866333</v>
      </c>
      <c r="AE82" s="62">
        <f t="shared" si="57"/>
        <v>-1265.9824556866333</v>
      </c>
      <c r="AF82" s="62">
        <f t="shared" si="57"/>
        <v>-1265.9824556866333</v>
      </c>
      <c r="AG82" s="62">
        <f t="shared" si="57"/>
        <v>-1265.9824556866351</v>
      </c>
      <c r="AH82" s="62">
        <f t="shared" si="57"/>
        <v>-1265.9824556866333</v>
      </c>
      <c r="AI82" s="62">
        <f t="shared" si="57"/>
        <v>-1265.9824556866333</v>
      </c>
      <c r="AJ82" s="62">
        <f t="shared" si="57"/>
        <v>-1265.9824556866315</v>
      </c>
      <c r="AK82" s="62">
        <f t="shared" si="57"/>
        <v>-1265.9824556866333</v>
      </c>
      <c r="AL82" s="62">
        <f t="shared" si="57"/>
        <v>-1265.9824556866315</v>
      </c>
      <c r="AM82" s="62">
        <f t="shared" ref="AM82:AQ82" si="58">AM63-(((AM29*AM48/100))+(AM81*AM42/100))</f>
        <v>-1265.9824556866333</v>
      </c>
      <c r="AN82" s="62">
        <f t="shared" si="58"/>
        <v>-1265.9824556866315</v>
      </c>
      <c r="AO82" s="62">
        <f t="shared" si="58"/>
        <v>-1265.9824556866315</v>
      </c>
      <c r="AP82" s="62">
        <f t="shared" si="58"/>
        <v>-1265.9824556866333</v>
      </c>
      <c r="AQ82" s="62">
        <f t="shared" si="58"/>
        <v>-1265.9824556866315</v>
      </c>
    </row>
    <row r="83" spans="2:43" x14ac:dyDescent="0.35">
      <c r="B83" s="52" t="s">
        <v>86</v>
      </c>
      <c r="G83" s="62">
        <f>G64-((G30*G48/100)+(G81*G43/100))</f>
        <v>-2213.7386558662984</v>
      </c>
      <c r="H83" s="62"/>
      <c r="I83" s="62">
        <f t="shared" ref="I83:AL83" si="59">I64-((I30*I48/100)+(I81*I43/100))</f>
        <v>-1105.0653806560331</v>
      </c>
      <c r="J83" s="62">
        <f t="shared" si="59"/>
        <v>-1191.131645780335</v>
      </c>
      <c r="K83" s="62">
        <f t="shared" si="59"/>
        <v>-1199.4223424795291</v>
      </c>
      <c r="L83" s="62">
        <f t="shared" si="59"/>
        <v>-1223.8195979115862</v>
      </c>
      <c r="M83" s="62">
        <f t="shared" si="59"/>
        <v>-1462.6039488420793</v>
      </c>
      <c r="N83" s="62">
        <f t="shared" si="59"/>
        <v>-1468.2797779770317</v>
      </c>
      <c r="O83" s="62">
        <f t="shared" si="59"/>
        <v>-1468.1009189225388</v>
      </c>
      <c r="P83" s="62">
        <f t="shared" si="59"/>
        <v>-1467.7028193898041</v>
      </c>
      <c r="Q83" s="62">
        <f t="shared" si="59"/>
        <v>-1467.1005117716322</v>
      </c>
      <c r="R83" s="62">
        <f t="shared" si="59"/>
        <v>-1472.3287294151305</v>
      </c>
      <c r="S83" s="62">
        <f t="shared" si="59"/>
        <v>-1462.0156773204799</v>
      </c>
      <c r="T83" s="62">
        <f t="shared" si="59"/>
        <v>-1452.1641589269093</v>
      </c>
      <c r="U83" s="62">
        <f t="shared" si="59"/>
        <v>-1442.7547528917257</v>
      </c>
      <c r="V83" s="62">
        <f t="shared" si="59"/>
        <v>-1433.7688236058566</v>
      </c>
      <c r="W83" s="62">
        <f t="shared" si="59"/>
        <v>-1425.1884902617148</v>
      </c>
      <c r="X83" s="62">
        <f t="shared" si="59"/>
        <v>-1416.9965971146248</v>
      </c>
      <c r="Y83" s="62">
        <f t="shared" si="59"/>
        <v>-1409.1766848923198</v>
      </c>
      <c r="Z83" s="62">
        <f t="shared" si="59"/>
        <v>-1401.712963309008</v>
      </c>
      <c r="AA83" s="62">
        <f t="shared" si="59"/>
        <v>-1394.5902846419231</v>
      </c>
      <c r="AB83" s="62">
        <f t="shared" si="59"/>
        <v>-1387.7941183299372</v>
      </c>
      <c r="AC83" s="62">
        <f t="shared" si="59"/>
        <v>-1381.3105265553586</v>
      </c>
      <c r="AD83" s="62">
        <f t="shared" si="59"/>
        <v>-1375.1261407714264</v>
      </c>
      <c r="AE83" s="62">
        <f t="shared" si="59"/>
        <v>-1369.228139139499</v>
      </c>
      <c r="AF83" s="62">
        <f t="shared" si="59"/>
        <v>-1363.6042248412359</v>
      </c>
      <c r="AG83" s="62">
        <f t="shared" si="59"/>
        <v>-1358.2426052323972</v>
      </c>
      <c r="AH83" s="62">
        <f t="shared" si="59"/>
        <v>-1353.1319718061513</v>
      </c>
      <c r="AI83" s="62">
        <f t="shared" si="59"/>
        <v>-1348.2614809349561</v>
      </c>
      <c r="AJ83" s="62">
        <f t="shared" si="59"/>
        <v>-1343.6207353613172</v>
      </c>
      <c r="AK83" s="62">
        <f t="shared" si="59"/>
        <v>-1339.199766408723</v>
      </c>
      <c r="AL83" s="62">
        <f t="shared" si="59"/>
        <v>-1334.9890168853017</v>
      </c>
      <c r="AM83" s="62">
        <f t="shared" ref="AM83:AQ83" si="60">AM64-((AM30*AM48/100)+(AM81*AM43/100))</f>
        <v>-1330.9793246536155</v>
      </c>
      <c r="AN83" s="62">
        <f t="shared" si="60"/>
        <v>-1327.1619068411346</v>
      </c>
      <c r="AO83" s="62">
        <f t="shared" si="60"/>
        <v>-1323.5283446668564</v>
      </c>
      <c r="AP83" s="62">
        <f t="shared" si="60"/>
        <v>-1320.0705688603903</v>
      </c>
      <c r="AQ83" s="62">
        <f t="shared" si="60"/>
        <v>-1316.7808456508828</v>
      </c>
    </row>
    <row r="84" spans="2:43" x14ac:dyDescent="0.35">
      <c r="B84" s="53" t="s">
        <v>114</v>
      </c>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row>
    <row r="85" spans="2:43" x14ac:dyDescent="0.35">
      <c r="B85" s="52" t="s">
        <v>91</v>
      </c>
      <c r="G85" s="62">
        <f>IF((G49-400000)&gt;0,(G49-400000),0)</f>
        <v>149882.16810683429</v>
      </c>
      <c r="H85" s="62"/>
      <c r="I85" s="62">
        <f t="shared" ref="I85:AL85" si="61">IF((I49-400000)&gt;0,(I49-400000),0)</f>
        <v>149882.16810683429</v>
      </c>
      <c r="J85" s="62">
        <f t="shared" si="61"/>
        <v>149882.16810683429</v>
      </c>
      <c r="K85" s="62">
        <f t="shared" si="61"/>
        <v>149882.16810683429</v>
      </c>
      <c r="L85" s="62">
        <f t="shared" si="61"/>
        <v>149882.16810683429</v>
      </c>
      <c r="M85" s="62">
        <f t="shared" si="61"/>
        <v>149882.16810683429</v>
      </c>
      <c r="N85" s="62">
        <f t="shared" si="61"/>
        <v>149882.16810683429</v>
      </c>
      <c r="O85" s="62">
        <f t="shared" si="61"/>
        <v>149882.16810683429</v>
      </c>
      <c r="P85" s="62">
        <f t="shared" si="61"/>
        <v>149882.16810683429</v>
      </c>
      <c r="Q85" s="62">
        <f t="shared" si="61"/>
        <v>149882.16810683429</v>
      </c>
      <c r="R85" s="62">
        <f t="shared" si="61"/>
        <v>149882.16810683429</v>
      </c>
      <c r="S85" s="62">
        <f t="shared" si="61"/>
        <v>149882.16810683429</v>
      </c>
      <c r="T85" s="62">
        <f t="shared" si="61"/>
        <v>149882.16810683429</v>
      </c>
      <c r="U85" s="62">
        <f t="shared" si="61"/>
        <v>149882.16810683429</v>
      </c>
      <c r="V85" s="62">
        <f t="shared" si="61"/>
        <v>149882.16810683429</v>
      </c>
      <c r="W85" s="62">
        <f t="shared" si="61"/>
        <v>149882.16810683429</v>
      </c>
      <c r="X85" s="62">
        <f t="shared" si="61"/>
        <v>149882.16810683429</v>
      </c>
      <c r="Y85" s="62">
        <f t="shared" si="61"/>
        <v>149882.16810683429</v>
      </c>
      <c r="Z85" s="62">
        <f t="shared" si="61"/>
        <v>149882.16810683429</v>
      </c>
      <c r="AA85" s="62">
        <f t="shared" si="61"/>
        <v>149882.16810683429</v>
      </c>
      <c r="AB85" s="62">
        <f t="shared" si="61"/>
        <v>149882.16810683429</v>
      </c>
      <c r="AC85" s="62">
        <f t="shared" si="61"/>
        <v>149882.16810683429</v>
      </c>
      <c r="AD85" s="62">
        <f t="shared" si="61"/>
        <v>149882.16810683429</v>
      </c>
      <c r="AE85" s="62">
        <f t="shared" si="61"/>
        <v>149882.16810683429</v>
      </c>
      <c r="AF85" s="62">
        <f t="shared" si="61"/>
        <v>149882.16810683429</v>
      </c>
      <c r="AG85" s="62">
        <f t="shared" si="61"/>
        <v>149882.16810683429</v>
      </c>
      <c r="AH85" s="62">
        <f t="shared" si="61"/>
        <v>149882.16810683429</v>
      </c>
      <c r="AI85" s="62">
        <f t="shared" si="61"/>
        <v>149882.16810683429</v>
      </c>
      <c r="AJ85" s="62">
        <f t="shared" si="61"/>
        <v>149882.16810683429</v>
      </c>
      <c r="AK85" s="62">
        <f t="shared" si="61"/>
        <v>149882.16810683429</v>
      </c>
      <c r="AL85" s="62">
        <f t="shared" si="61"/>
        <v>149882.16810683429</v>
      </c>
      <c r="AM85" s="62">
        <f t="shared" ref="AM85:AQ85" si="62">IF((AM49-400000)&gt;0,(AM49-400000),0)</f>
        <v>149882.16810683429</v>
      </c>
      <c r="AN85" s="62">
        <f t="shared" si="62"/>
        <v>149882.16810683429</v>
      </c>
      <c r="AO85" s="62">
        <f t="shared" si="62"/>
        <v>149882.16810683429</v>
      </c>
      <c r="AP85" s="62">
        <f t="shared" si="62"/>
        <v>149882.16810683429</v>
      </c>
      <c r="AQ85" s="62">
        <f t="shared" si="62"/>
        <v>149882.16810683429</v>
      </c>
    </row>
    <row r="86" spans="2:43" x14ac:dyDescent="0.35">
      <c r="B86" s="52" t="s">
        <v>87</v>
      </c>
      <c r="G86" s="62">
        <f>G63-(((G29*G48/100))+(G85*G42/100))</f>
        <v>1405.0079200104519</v>
      </c>
      <c r="H86" s="62"/>
      <c r="I86" s="62">
        <f t="shared" ref="I86:AL86" si="63">I63-(((I29*I48/100))+(I85*I42/100))</f>
        <v>1558.9589669832494</v>
      </c>
      <c r="J86" s="62">
        <f t="shared" si="63"/>
        <v>1643.2113133207267</v>
      </c>
      <c r="K86" s="62">
        <f t="shared" si="63"/>
        <v>1654.6486440806711</v>
      </c>
      <c r="L86" s="62">
        <f t="shared" si="63"/>
        <v>1688.3055839176341</v>
      </c>
      <c r="M86" s="62">
        <f t="shared" si="63"/>
        <v>1738.7183767557399</v>
      </c>
      <c r="N86" s="62">
        <f t="shared" si="63"/>
        <v>1746.4708464587884</v>
      </c>
      <c r="O86" s="62">
        <f t="shared" si="63"/>
        <v>1746.4708464587884</v>
      </c>
      <c r="P86" s="62">
        <f t="shared" si="63"/>
        <v>1746.4708464587875</v>
      </c>
      <c r="Q86" s="62">
        <f t="shared" si="63"/>
        <v>1746.4708464587884</v>
      </c>
      <c r="R86" s="62">
        <f t="shared" si="63"/>
        <v>1746.4708464587884</v>
      </c>
      <c r="S86" s="62">
        <f t="shared" si="63"/>
        <v>1746.4708464587875</v>
      </c>
      <c r="T86" s="62">
        <f t="shared" si="63"/>
        <v>1746.4708464587884</v>
      </c>
      <c r="U86" s="62">
        <f t="shared" si="63"/>
        <v>1746.4708464587884</v>
      </c>
      <c r="V86" s="62">
        <f t="shared" si="63"/>
        <v>1746.4708464587884</v>
      </c>
      <c r="W86" s="62">
        <f t="shared" si="63"/>
        <v>1746.4708464587875</v>
      </c>
      <c r="X86" s="62">
        <f t="shared" si="63"/>
        <v>1746.4708464587857</v>
      </c>
      <c r="Y86" s="62">
        <f t="shared" si="63"/>
        <v>1746.4708464587857</v>
      </c>
      <c r="Z86" s="62">
        <f t="shared" si="63"/>
        <v>1746.4708464587866</v>
      </c>
      <c r="AA86" s="62">
        <f t="shared" si="63"/>
        <v>1746.4708464587857</v>
      </c>
      <c r="AB86" s="62">
        <f t="shared" si="63"/>
        <v>1746.4708464587857</v>
      </c>
      <c r="AC86" s="62">
        <f t="shared" si="63"/>
        <v>1746.4708464587866</v>
      </c>
      <c r="AD86" s="62">
        <f t="shared" si="63"/>
        <v>1746.4708464587848</v>
      </c>
      <c r="AE86" s="62">
        <f t="shared" si="63"/>
        <v>1746.4708464587848</v>
      </c>
      <c r="AF86" s="62">
        <f t="shared" si="63"/>
        <v>1746.4708464587848</v>
      </c>
      <c r="AG86" s="62">
        <f t="shared" si="63"/>
        <v>1746.4708464587839</v>
      </c>
      <c r="AH86" s="62">
        <f t="shared" si="63"/>
        <v>1746.4708464587848</v>
      </c>
      <c r="AI86" s="62">
        <f t="shared" si="63"/>
        <v>1746.4708464587848</v>
      </c>
      <c r="AJ86" s="62">
        <f t="shared" si="63"/>
        <v>1746.4708464587857</v>
      </c>
      <c r="AK86" s="62">
        <f t="shared" si="63"/>
        <v>1746.4708464587866</v>
      </c>
      <c r="AL86" s="62">
        <f t="shared" si="63"/>
        <v>1746.4708464587857</v>
      </c>
      <c r="AM86" s="62">
        <f t="shared" ref="AM86:AQ86" si="64">AM63-(((AM29*AM48/100))+(AM85*AM42/100))</f>
        <v>1746.4708464587866</v>
      </c>
      <c r="AN86" s="62">
        <f t="shared" si="64"/>
        <v>1746.4708464587875</v>
      </c>
      <c r="AO86" s="62">
        <f t="shared" si="64"/>
        <v>1746.4708464587857</v>
      </c>
      <c r="AP86" s="62">
        <f t="shared" si="64"/>
        <v>1746.4708464587866</v>
      </c>
      <c r="AQ86" s="62">
        <f t="shared" si="64"/>
        <v>1746.4708464587866</v>
      </c>
    </row>
    <row r="87" spans="2:43" x14ac:dyDescent="0.35">
      <c r="B87" s="52" t="s">
        <v>88</v>
      </c>
      <c r="G87" s="62">
        <f>G64-(((G30*G48/100))+(G85*G43/100))</f>
        <v>209.73194300340219</v>
      </c>
      <c r="H87" s="62"/>
      <c r="I87" s="62">
        <f t="shared" ref="I87:AL87" si="65">I64-(((I30*I48/100))+(I85*I43/100))</f>
        <v>1558.9589669832494</v>
      </c>
      <c r="J87" s="62">
        <f t="shared" si="65"/>
        <v>1643.2113133207267</v>
      </c>
      <c r="K87" s="62">
        <f t="shared" si="65"/>
        <v>1654.6486440806711</v>
      </c>
      <c r="L87" s="62">
        <f t="shared" si="65"/>
        <v>1688.3055839176341</v>
      </c>
      <c r="M87" s="62">
        <f t="shared" si="65"/>
        <v>2017.7176587986396</v>
      </c>
      <c r="N87" s="62">
        <f t="shared" si="65"/>
        <v>2025.5476805095695</v>
      </c>
      <c r="O87" s="62">
        <f t="shared" si="65"/>
        <v>2025.3009376555201</v>
      </c>
      <c r="P87" s="62">
        <f t="shared" si="65"/>
        <v>2024.7517442407188</v>
      </c>
      <c r="Q87" s="62">
        <f t="shared" si="65"/>
        <v>2023.920838021595</v>
      </c>
      <c r="R87" s="62">
        <f t="shared" si="65"/>
        <v>2031.1333626915039</v>
      </c>
      <c r="S87" s="62">
        <f t="shared" si="65"/>
        <v>2016.9061159074645</v>
      </c>
      <c r="T87" s="62">
        <f t="shared" si="65"/>
        <v>2003.3155723810214</v>
      </c>
      <c r="U87" s="62">
        <f t="shared" si="65"/>
        <v>1990.334939632814</v>
      </c>
      <c r="V87" s="62">
        <f t="shared" si="65"/>
        <v>1977.9385091328295</v>
      </c>
      <c r="W87" s="62">
        <f t="shared" si="65"/>
        <v>1966.1016136283761</v>
      </c>
      <c r="X87" s="62">
        <f t="shared" si="65"/>
        <v>1954.8005861185266</v>
      </c>
      <c r="Y87" s="62">
        <f t="shared" si="65"/>
        <v>1944.0127204125056</v>
      </c>
      <c r="Z87" s="62">
        <f t="shared" si="65"/>
        <v>1933.7162332117641</v>
      </c>
      <c r="AA87" s="62">
        <f t="shared" si="65"/>
        <v>1923.8902276578301</v>
      </c>
      <c r="AB87" s="62">
        <f t="shared" si="65"/>
        <v>1914.5146582901434</v>
      </c>
      <c r="AC87" s="62">
        <f t="shared" si="65"/>
        <v>1905.5702973601947</v>
      </c>
      <c r="AD87" s="62">
        <f t="shared" si="65"/>
        <v>1897.038702450347</v>
      </c>
      <c r="AE87" s="62">
        <f t="shared" si="65"/>
        <v>1888.9021853475551</v>
      </c>
      <c r="AF87" s="62">
        <f t="shared" si="65"/>
        <v>1881.1437821242089</v>
      </c>
      <c r="AG87" s="62">
        <f t="shared" si="65"/>
        <v>1873.7472243800021</v>
      </c>
      <c r="AH87" s="62">
        <f t="shared" si="65"/>
        <v>1866.6969116005585</v>
      </c>
      <c r="AI87" s="62">
        <f t="shared" si="65"/>
        <v>1859.9778845901365</v>
      </c>
      <c r="AJ87" s="62">
        <f t="shared" si="65"/>
        <v>1853.5757999373909</v>
      </c>
      <c r="AK87" s="62">
        <f t="shared" si="65"/>
        <v>1847.4769054747403</v>
      </c>
      <c r="AL87" s="62">
        <f t="shared" si="65"/>
        <v>1841.6680166932547</v>
      </c>
      <c r="AM87" s="62">
        <f t="shared" ref="AM87:AQ87" si="66">AM64-(((AM30*AM48/100))+(AM85*AM43/100))</f>
        <v>1836.1364940766016</v>
      </c>
      <c r="AN87" s="62">
        <f t="shared" si="66"/>
        <v>1830.8702213187953</v>
      </c>
      <c r="AO87" s="62">
        <f t="shared" si="66"/>
        <v>1825.8575843918989</v>
      </c>
      <c r="AP87" s="62">
        <f t="shared" si="66"/>
        <v>1821.0874514311636</v>
      </c>
      <c r="AQ87" s="62">
        <f t="shared" si="66"/>
        <v>1816.5491534061694</v>
      </c>
    </row>
    <row r="88" spans="2:43" x14ac:dyDescent="0.35">
      <c r="B88" s="53" t="s">
        <v>106</v>
      </c>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row>
    <row r="89" spans="2:43" x14ac:dyDescent="0.35">
      <c r="B89" s="53" t="s">
        <v>107</v>
      </c>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row>
    <row r="90" spans="2:43" x14ac:dyDescent="0.35">
      <c r="B90" s="52" t="s">
        <v>92</v>
      </c>
      <c r="G90" s="62">
        <f>(((G29*G48/100))+(G85*G42/100))</f>
        <v>6209.9821785589156</v>
      </c>
      <c r="H90" s="62"/>
      <c r="I90" s="62">
        <f t="shared" ref="I90:AL90" si="67">(((I29*I48/100))+(I85*I42/100))</f>
        <v>6811.8952282697992</v>
      </c>
      <c r="J90" s="62">
        <f t="shared" si="67"/>
        <v>7262.8152667297409</v>
      </c>
      <c r="K90" s="62">
        <f t="shared" si="67"/>
        <v>7313.3670246080983</v>
      </c>
      <c r="L90" s="62">
        <f t="shared" si="67"/>
        <v>7462.1270376981392</v>
      </c>
      <c r="M90" s="62">
        <f t="shared" si="67"/>
        <v>7684.9460984573761</v>
      </c>
      <c r="N90" s="62">
        <f t="shared" si="67"/>
        <v>7719.2111712801607</v>
      </c>
      <c r="O90" s="62">
        <f t="shared" si="67"/>
        <v>7719.2111712801607</v>
      </c>
      <c r="P90" s="62">
        <f t="shared" si="67"/>
        <v>7719.2111712801616</v>
      </c>
      <c r="Q90" s="62">
        <f t="shared" si="67"/>
        <v>7719.2111712801607</v>
      </c>
      <c r="R90" s="62">
        <f t="shared" si="67"/>
        <v>7719.2111712801625</v>
      </c>
      <c r="S90" s="62">
        <f t="shared" si="67"/>
        <v>7719.2111712801616</v>
      </c>
      <c r="T90" s="62">
        <f t="shared" si="67"/>
        <v>7719.2111712801607</v>
      </c>
      <c r="U90" s="62">
        <f t="shared" si="67"/>
        <v>7719.2111712801607</v>
      </c>
      <c r="V90" s="62">
        <f t="shared" si="67"/>
        <v>7719.2111712801607</v>
      </c>
      <c r="W90" s="62">
        <f t="shared" si="67"/>
        <v>7719.2111712801598</v>
      </c>
      <c r="X90" s="62">
        <f t="shared" si="67"/>
        <v>7719.2111712801598</v>
      </c>
      <c r="Y90" s="62">
        <f t="shared" si="67"/>
        <v>7719.2111712801598</v>
      </c>
      <c r="Z90" s="62">
        <f t="shared" si="67"/>
        <v>7719.2111712801589</v>
      </c>
      <c r="AA90" s="62">
        <f t="shared" si="67"/>
        <v>7719.2111712801598</v>
      </c>
      <c r="AB90" s="62">
        <f t="shared" si="67"/>
        <v>7719.2111712801598</v>
      </c>
      <c r="AC90" s="62">
        <f t="shared" si="67"/>
        <v>7719.2111712801589</v>
      </c>
      <c r="AD90" s="62">
        <f t="shared" si="67"/>
        <v>7719.2111712801589</v>
      </c>
      <c r="AE90" s="62">
        <f t="shared" si="67"/>
        <v>7719.2111712801589</v>
      </c>
      <c r="AF90" s="62">
        <f t="shared" si="67"/>
        <v>7719.2111712801589</v>
      </c>
      <c r="AG90" s="62">
        <f t="shared" si="67"/>
        <v>7719.2111712801579</v>
      </c>
      <c r="AH90" s="62">
        <f t="shared" si="67"/>
        <v>7719.2111712801589</v>
      </c>
      <c r="AI90" s="62">
        <f t="shared" si="67"/>
        <v>7719.2111712801589</v>
      </c>
      <c r="AJ90" s="62">
        <f t="shared" si="67"/>
        <v>7719.2111712801579</v>
      </c>
      <c r="AK90" s="62">
        <f t="shared" si="67"/>
        <v>7719.2111712801589</v>
      </c>
      <c r="AL90" s="62">
        <f t="shared" si="67"/>
        <v>7719.2111712801579</v>
      </c>
      <c r="AM90" s="62">
        <f t="shared" ref="AM90:AQ90" si="68">(((AM29*AM48/100))+(AM85*AM42/100))</f>
        <v>7719.2111712801589</v>
      </c>
      <c r="AN90" s="62">
        <f t="shared" si="68"/>
        <v>7719.2111712801579</v>
      </c>
      <c r="AO90" s="62">
        <f t="shared" si="68"/>
        <v>7719.2111712801579</v>
      </c>
      <c r="AP90" s="62">
        <f t="shared" si="68"/>
        <v>7719.2111712801589</v>
      </c>
      <c r="AQ90" s="62">
        <f t="shared" si="68"/>
        <v>7719.211171280157</v>
      </c>
    </row>
    <row r="91" spans="2:43" x14ac:dyDescent="0.35">
      <c r="B91" s="52" t="s">
        <v>100</v>
      </c>
      <c r="G91" s="62">
        <f>((G42*(G49-15000))/100)</f>
        <v>7407.2640472376788</v>
      </c>
      <c r="H91" s="62"/>
      <c r="I91" s="62">
        <f t="shared" ref="I91:AL91" si="69">((I42*(I49-15000))/100)</f>
        <v>8142.5092511696812</v>
      </c>
      <c r="J91" s="62">
        <f t="shared" si="69"/>
        <v>8663.0828978418049</v>
      </c>
      <c r="K91" s="62">
        <f t="shared" si="69"/>
        <v>8723.3810126978951</v>
      </c>
      <c r="L91" s="62">
        <f t="shared" si="69"/>
        <v>8900.8218917446975</v>
      </c>
      <c r="M91" s="62">
        <f t="shared" si="69"/>
        <v>9166.600370707125</v>
      </c>
      <c r="N91" s="62">
        <f t="shared" si="69"/>
        <v>9207.4717346979123</v>
      </c>
      <c r="O91" s="62">
        <f t="shared" si="69"/>
        <v>9207.4717346979123</v>
      </c>
      <c r="P91" s="62">
        <f t="shared" si="69"/>
        <v>9207.4717346979141</v>
      </c>
      <c r="Q91" s="62">
        <f t="shared" si="69"/>
        <v>9207.4717346979123</v>
      </c>
      <c r="R91" s="62">
        <f t="shared" si="69"/>
        <v>9207.471734697916</v>
      </c>
      <c r="S91" s="62">
        <f t="shared" si="69"/>
        <v>9207.4717346979141</v>
      </c>
      <c r="T91" s="62">
        <f t="shared" si="69"/>
        <v>9207.4717346979123</v>
      </c>
      <c r="U91" s="62">
        <f t="shared" si="69"/>
        <v>9207.4717346979123</v>
      </c>
      <c r="V91" s="62">
        <f t="shared" si="69"/>
        <v>9207.4717346979123</v>
      </c>
      <c r="W91" s="62">
        <f t="shared" si="69"/>
        <v>9207.4717346979123</v>
      </c>
      <c r="X91" s="62">
        <f t="shared" si="69"/>
        <v>9207.4717346979105</v>
      </c>
      <c r="Y91" s="62">
        <f t="shared" si="69"/>
        <v>9207.4717346979105</v>
      </c>
      <c r="Z91" s="62">
        <f t="shared" si="69"/>
        <v>9207.4717346979087</v>
      </c>
      <c r="AA91" s="62">
        <f t="shared" si="69"/>
        <v>9207.4717346979105</v>
      </c>
      <c r="AB91" s="62">
        <f t="shared" si="69"/>
        <v>9207.4717346979105</v>
      </c>
      <c r="AC91" s="62">
        <f t="shared" si="69"/>
        <v>9207.4717346979087</v>
      </c>
      <c r="AD91" s="62">
        <f t="shared" si="69"/>
        <v>9207.4717346979069</v>
      </c>
      <c r="AE91" s="62">
        <f t="shared" si="69"/>
        <v>9207.4717346979069</v>
      </c>
      <c r="AF91" s="62">
        <f t="shared" si="69"/>
        <v>9207.4717346979069</v>
      </c>
      <c r="AG91" s="62">
        <f t="shared" si="69"/>
        <v>9207.4717346979069</v>
      </c>
      <c r="AH91" s="62">
        <f t="shared" si="69"/>
        <v>9207.4717346979069</v>
      </c>
      <c r="AI91" s="62">
        <f t="shared" si="69"/>
        <v>9207.4717346979069</v>
      </c>
      <c r="AJ91" s="62">
        <f t="shared" si="69"/>
        <v>9207.4717346979069</v>
      </c>
      <c r="AK91" s="62">
        <f t="shared" si="69"/>
        <v>9207.4717346979087</v>
      </c>
      <c r="AL91" s="62">
        <f t="shared" si="69"/>
        <v>9207.4717346979069</v>
      </c>
      <c r="AM91" s="62">
        <f t="shared" ref="AM91:AQ91" si="70">((AM42*(AM49-15000))/100)</f>
        <v>9207.4717346979087</v>
      </c>
      <c r="AN91" s="62">
        <f t="shared" si="70"/>
        <v>9207.4717346979087</v>
      </c>
      <c r="AO91" s="62">
        <f t="shared" si="70"/>
        <v>9207.4717346979069</v>
      </c>
      <c r="AP91" s="62">
        <f t="shared" si="70"/>
        <v>9207.4717346979087</v>
      </c>
      <c r="AQ91" s="62">
        <f t="shared" si="70"/>
        <v>9207.4717346979069</v>
      </c>
    </row>
    <row r="92" spans="2:43" x14ac:dyDescent="0.35">
      <c r="B92" s="52" t="s">
        <v>89</v>
      </c>
      <c r="D92" s="52"/>
      <c r="G92" s="62">
        <f>G63-(IF(G90&lt;G91, G90, G91))</f>
        <v>1405.0079200104519</v>
      </c>
      <c r="H92" s="62"/>
      <c r="I92" s="62">
        <f t="shared" ref="I92:AL92" si="71">I63-(IF(I90&lt;I91, I90, I91))</f>
        <v>1558.9589669832494</v>
      </c>
      <c r="J92" s="62">
        <f t="shared" si="71"/>
        <v>1643.2113133207267</v>
      </c>
      <c r="K92" s="62">
        <f t="shared" si="71"/>
        <v>1654.6486440806711</v>
      </c>
      <c r="L92" s="62">
        <f t="shared" si="71"/>
        <v>1688.3055839176341</v>
      </c>
      <c r="M92" s="62">
        <f t="shared" si="71"/>
        <v>1738.7183767557399</v>
      </c>
      <c r="N92" s="62">
        <f t="shared" si="71"/>
        <v>1746.4708464587884</v>
      </c>
      <c r="O92" s="62">
        <f t="shared" si="71"/>
        <v>1746.4708464587884</v>
      </c>
      <c r="P92" s="62">
        <f t="shared" si="71"/>
        <v>1746.4708464587875</v>
      </c>
      <c r="Q92" s="62">
        <f t="shared" si="71"/>
        <v>1746.4708464587884</v>
      </c>
      <c r="R92" s="62">
        <f t="shared" si="71"/>
        <v>1746.4708464587884</v>
      </c>
      <c r="S92" s="62">
        <f t="shared" si="71"/>
        <v>1746.4708464587875</v>
      </c>
      <c r="T92" s="62">
        <f t="shared" si="71"/>
        <v>1746.4708464587884</v>
      </c>
      <c r="U92" s="62">
        <f t="shared" si="71"/>
        <v>1746.4708464587884</v>
      </c>
      <c r="V92" s="62">
        <f t="shared" si="71"/>
        <v>1746.4708464587884</v>
      </c>
      <c r="W92" s="62">
        <f t="shared" si="71"/>
        <v>1746.4708464587875</v>
      </c>
      <c r="X92" s="62">
        <f t="shared" si="71"/>
        <v>1746.4708464587857</v>
      </c>
      <c r="Y92" s="62">
        <f t="shared" si="71"/>
        <v>1746.4708464587857</v>
      </c>
      <c r="Z92" s="62">
        <f t="shared" si="71"/>
        <v>1746.4708464587866</v>
      </c>
      <c r="AA92" s="62">
        <f t="shared" si="71"/>
        <v>1746.4708464587857</v>
      </c>
      <c r="AB92" s="62">
        <f t="shared" si="71"/>
        <v>1746.4708464587857</v>
      </c>
      <c r="AC92" s="62">
        <f t="shared" si="71"/>
        <v>1746.4708464587866</v>
      </c>
      <c r="AD92" s="62">
        <f t="shared" si="71"/>
        <v>1746.4708464587848</v>
      </c>
      <c r="AE92" s="62">
        <f t="shared" si="71"/>
        <v>1746.4708464587848</v>
      </c>
      <c r="AF92" s="62">
        <f t="shared" si="71"/>
        <v>1746.4708464587848</v>
      </c>
      <c r="AG92" s="62">
        <f t="shared" si="71"/>
        <v>1746.4708464587839</v>
      </c>
      <c r="AH92" s="62">
        <f t="shared" si="71"/>
        <v>1746.4708464587848</v>
      </c>
      <c r="AI92" s="62">
        <f t="shared" si="71"/>
        <v>1746.4708464587848</v>
      </c>
      <c r="AJ92" s="62">
        <f t="shared" si="71"/>
        <v>1746.4708464587857</v>
      </c>
      <c r="AK92" s="62">
        <f t="shared" si="71"/>
        <v>1746.4708464587866</v>
      </c>
      <c r="AL92" s="62">
        <f t="shared" si="71"/>
        <v>1746.4708464587857</v>
      </c>
      <c r="AM92" s="62">
        <f t="shared" ref="AM92:AQ92" si="72">AM63-(IF(AM90&lt;AM91, AM90, AM91))</f>
        <v>1746.4708464587866</v>
      </c>
      <c r="AN92" s="62">
        <f t="shared" si="72"/>
        <v>1746.4708464587875</v>
      </c>
      <c r="AO92" s="62">
        <f t="shared" si="72"/>
        <v>1746.4708464587857</v>
      </c>
      <c r="AP92" s="62">
        <f t="shared" si="72"/>
        <v>1746.4708464587866</v>
      </c>
      <c r="AQ92" s="62">
        <f t="shared" si="72"/>
        <v>1746.4708464587866</v>
      </c>
    </row>
    <row r="93" spans="2:43" x14ac:dyDescent="0.35">
      <c r="B93" s="52" t="s">
        <v>93</v>
      </c>
      <c r="G93" s="62">
        <f>(((G30*G48/100))+(G85*G43/100))</f>
        <v>7405.2581555659654</v>
      </c>
      <c r="H93" s="62"/>
      <c r="I93" s="62">
        <f t="shared" ref="I93:AL93" si="73">(((I30*I48/100))+(I85*I43/100))</f>
        <v>6811.8952282697992</v>
      </c>
      <c r="J93" s="62">
        <f t="shared" si="73"/>
        <v>7262.8152667297409</v>
      </c>
      <c r="K93" s="62">
        <f t="shared" si="73"/>
        <v>7313.3670246080983</v>
      </c>
      <c r="L93" s="62">
        <f t="shared" si="73"/>
        <v>7462.1270376981392</v>
      </c>
      <c r="M93" s="62">
        <f t="shared" si="73"/>
        <v>8918.0925773073141</v>
      </c>
      <c r="N93" s="62">
        <f t="shared" si="73"/>
        <v>8952.7004215693087</v>
      </c>
      <c r="O93" s="62">
        <f t="shared" si="73"/>
        <v>8951.6098449935271</v>
      </c>
      <c r="P93" s="62">
        <f t="shared" si="73"/>
        <v>8949.182469837906</v>
      </c>
      <c r="Q93" s="62">
        <f t="shared" si="73"/>
        <v>8945.5099547301033</v>
      </c>
      <c r="R93" s="62">
        <f t="shared" si="73"/>
        <v>8977.3885292382183</v>
      </c>
      <c r="S93" s="62">
        <f t="shared" si="73"/>
        <v>8914.5056460028081</v>
      </c>
      <c r="T93" s="62">
        <f t="shared" si="73"/>
        <v>8854.4369219094169</v>
      </c>
      <c r="U93" s="62">
        <f t="shared" si="73"/>
        <v>8797.0639371135876</v>
      </c>
      <c r="V93" s="62">
        <f t="shared" si="73"/>
        <v>8742.2730627090714</v>
      </c>
      <c r="W93" s="62">
        <f t="shared" si="73"/>
        <v>8689.9552721221135</v>
      </c>
      <c r="X93" s="62">
        <f t="shared" si="73"/>
        <v>8640.0059597829768</v>
      </c>
      <c r="Y93" s="62">
        <f t="shared" si="73"/>
        <v>8592.3247667982614</v>
      </c>
      <c r="Z93" s="62">
        <f t="shared" si="73"/>
        <v>8546.8154133578337</v>
      </c>
      <c r="AA93" s="62">
        <f t="shared" si="73"/>
        <v>8503.3855376202646</v>
      </c>
      <c r="AB93" s="62">
        <f t="shared" si="73"/>
        <v>8461.9465408302967</v>
      </c>
      <c r="AC93" s="62">
        <f t="shared" si="73"/>
        <v>8422.4134384310164</v>
      </c>
      <c r="AD93" s="62">
        <f t="shared" si="73"/>
        <v>8384.7047169425005</v>
      </c>
      <c r="AE93" s="62">
        <f t="shared" si="73"/>
        <v>8348.742196387102</v>
      </c>
      <c r="AF93" s="62">
        <f t="shared" si="73"/>
        <v>8314.4508980500086</v>
      </c>
      <c r="AG93" s="62">
        <f t="shared" si="73"/>
        <v>8281.7589173714532</v>
      </c>
      <c r="AH93" s="62">
        <f t="shared" si="73"/>
        <v>8250.5973017748074</v>
      </c>
      <c r="AI93" s="62">
        <f t="shared" si="73"/>
        <v>8220.8999332420481</v>
      </c>
      <c r="AJ93" s="62">
        <f t="shared" si="73"/>
        <v>8192.6034154552526</v>
      </c>
      <c r="AK93" s="62">
        <f t="shared" si="73"/>
        <v>8165.6469653295453</v>
      </c>
      <c r="AL93" s="62">
        <f t="shared" si="73"/>
        <v>8139.9723087696093</v>
      </c>
      <c r="AM93" s="62">
        <f t="shared" ref="AM93:AQ93" si="74">(((AM30*AM48/100))+(AM85*AM43/100))</f>
        <v>8115.5235804881013</v>
      </c>
      <c r="AN93" s="62">
        <f t="shared" si="74"/>
        <v>8092.2472277304714</v>
      </c>
      <c r="AO93" s="62">
        <f t="shared" si="74"/>
        <v>8070.0919177565829</v>
      </c>
      <c r="AP93" s="62">
        <f t="shared" si="74"/>
        <v>8049.0084489350738</v>
      </c>
      <c r="AQ93" s="62">
        <f t="shared" si="74"/>
        <v>8028.9496653119877</v>
      </c>
    </row>
    <row r="94" spans="2:43" x14ac:dyDescent="0.35">
      <c r="B94" s="52" t="s">
        <v>101</v>
      </c>
      <c r="G94" s="62">
        <f>(G43*(G49-15000))/100</f>
        <v>7407.2640472376788</v>
      </c>
      <c r="H94" s="62"/>
      <c r="I94" s="62">
        <f t="shared" ref="I94:AL94" si="75">(I43*(I49-15000))/100</f>
        <v>8142.5092511696812</v>
      </c>
      <c r="J94" s="62">
        <f t="shared" si="75"/>
        <v>8663.0828978418049</v>
      </c>
      <c r="K94" s="62">
        <f t="shared" si="75"/>
        <v>8723.3810126978951</v>
      </c>
      <c r="L94" s="62">
        <f t="shared" si="75"/>
        <v>8900.8218917446975</v>
      </c>
      <c r="M94" s="62">
        <f t="shared" si="75"/>
        <v>10637.496955451037</v>
      </c>
      <c r="N94" s="62">
        <f t="shared" si="75"/>
        <v>10678.777177065742</v>
      </c>
      <c r="O94" s="62">
        <f t="shared" si="75"/>
        <v>10677.476337799497</v>
      </c>
      <c r="P94" s="62">
        <f t="shared" si="75"/>
        <v>10674.580965767438</v>
      </c>
      <c r="Q94" s="62">
        <f t="shared" si="75"/>
        <v>10670.20039134085</v>
      </c>
      <c r="R94" s="62">
        <f t="shared" si="75"/>
        <v>10708.225141177725</v>
      </c>
      <c r="S94" s="62">
        <f t="shared" si="75"/>
        <v>10633.218465347876</v>
      </c>
      <c r="T94" s="62">
        <f t="shared" si="75"/>
        <v>10561.568517321186</v>
      </c>
      <c r="U94" s="62">
        <f t="shared" si="75"/>
        <v>10493.134045958583</v>
      </c>
      <c r="V94" s="62">
        <f t="shared" si="75"/>
        <v>10427.779514750015</v>
      </c>
      <c r="W94" s="62">
        <f t="shared" si="75"/>
        <v>10365.374876845623</v>
      </c>
      <c r="X94" s="62">
        <f t="shared" si="75"/>
        <v>10305.795358767233</v>
      </c>
      <c r="Y94" s="62">
        <f t="shared" si="75"/>
        <v>10248.921252470354</v>
      </c>
      <c r="Z94" s="62">
        <f t="shared" si="75"/>
        <v>10194.637715439247</v>
      </c>
      <c r="AA94" s="62">
        <f t="shared" si="75"/>
        <v>10142.834578509544</v>
      </c>
      <c r="AB94" s="62">
        <f t="shared" si="75"/>
        <v>10093.406161124432</v>
      </c>
      <c r="AC94" s="62">
        <f t="shared" si="75"/>
        <v>10046.251093741308</v>
      </c>
      <c r="AD94" s="62">
        <f t="shared" si="75"/>
        <v>10001.272147116695</v>
      </c>
      <c r="AE94" s="62">
        <f t="shared" si="75"/>
        <v>9958.376068207197</v>
      </c>
      <c r="AF94" s="62">
        <f t="shared" si="75"/>
        <v>9917.473422434321</v>
      </c>
      <c r="AG94" s="62">
        <f t="shared" si="75"/>
        <v>9878.4784420703927</v>
      </c>
      <c r="AH94" s="62">
        <f t="shared" si="75"/>
        <v>9841.3088805119351</v>
      </c>
      <c r="AI94" s="62">
        <f t="shared" si="75"/>
        <v>9805.8858722157474</v>
      </c>
      <c r="AJ94" s="62">
        <f t="shared" si="75"/>
        <v>9772.1337980813259</v>
      </c>
      <c r="AK94" s="62">
        <f t="shared" si="75"/>
        <v>9739.9801560714168</v>
      </c>
      <c r="AL94" s="62">
        <f t="shared" si="75"/>
        <v>9709.3554368704154</v>
      </c>
      <c r="AM94" s="62">
        <f t="shared" ref="AM94:AQ94" si="76">(AM43*(AM49-15000))/100</f>
        <v>9680.1930043878274</v>
      </c>
      <c r="AN94" s="62">
        <f t="shared" si="76"/>
        <v>9652.4289809212714</v>
      </c>
      <c r="AO94" s="62">
        <f t="shared" si="76"/>
        <v>9626.0021368005891</v>
      </c>
      <c r="AP94" s="62">
        <f t="shared" si="76"/>
        <v>9600.8537843412469</v>
      </c>
      <c r="AQ94" s="62">
        <f t="shared" si="76"/>
        <v>9576.927675941839</v>
      </c>
    </row>
    <row r="95" spans="2:43" x14ac:dyDescent="0.35">
      <c r="B95" s="52" t="s">
        <v>125</v>
      </c>
      <c r="D95" s="52"/>
      <c r="G95" s="62">
        <f>G64-(IF(G93&lt;G94, G93, G94))</f>
        <v>209.73194300340219</v>
      </c>
      <c r="H95" s="62"/>
      <c r="I95" s="62">
        <f t="shared" ref="I95:AL95" si="77">I64-(IF(I93&lt;I94, I93, I94))</f>
        <v>1558.9589669832494</v>
      </c>
      <c r="J95" s="62">
        <f t="shared" si="77"/>
        <v>1643.2113133207267</v>
      </c>
      <c r="K95" s="62">
        <f t="shared" si="77"/>
        <v>1654.6486440806711</v>
      </c>
      <c r="L95" s="62">
        <f t="shared" si="77"/>
        <v>1688.3055839176341</v>
      </c>
      <c r="M95" s="62">
        <f t="shared" si="77"/>
        <v>2017.7176587986396</v>
      </c>
      <c r="N95" s="62">
        <f t="shared" si="77"/>
        <v>2025.5476805095695</v>
      </c>
      <c r="O95" s="62">
        <f t="shared" si="77"/>
        <v>2025.3009376555201</v>
      </c>
      <c r="P95" s="62">
        <f t="shared" si="77"/>
        <v>2024.7517442407188</v>
      </c>
      <c r="Q95" s="62">
        <f t="shared" si="77"/>
        <v>2023.920838021595</v>
      </c>
      <c r="R95" s="62">
        <f t="shared" si="77"/>
        <v>2031.1333626915039</v>
      </c>
      <c r="S95" s="62">
        <f t="shared" si="77"/>
        <v>2016.9061159074645</v>
      </c>
      <c r="T95" s="62">
        <f t="shared" si="77"/>
        <v>2003.3155723810214</v>
      </c>
      <c r="U95" s="62">
        <f t="shared" si="77"/>
        <v>1990.334939632814</v>
      </c>
      <c r="V95" s="62">
        <f t="shared" si="77"/>
        <v>1977.9385091328295</v>
      </c>
      <c r="W95" s="62">
        <f t="shared" si="77"/>
        <v>1966.1016136283761</v>
      </c>
      <c r="X95" s="62">
        <f t="shared" si="77"/>
        <v>1954.8005861185266</v>
      </c>
      <c r="Y95" s="62">
        <f t="shared" si="77"/>
        <v>1944.0127204125056</v>
      </c>
      <c r="Z95" s="62">
        <f t="shared" si="77"/>
        <v>1933.7162332117641</v>
      </c>
      <c r="AA95" s="62">
        <f t="shared" si="77"/>
        <v>1923.8902276578301</v>
      </c>
      <c r="AB95" s="62">
        <f t="shared" si="77"/>
        <v>1914.5146582901434</v>
      </c>
      <c r="AC95" s="62">
        <f t="shared" si="77"/>
        <v>1905.5702973601947</v>
      </c>
      <c r="AD95" s="62">
        <f t="shared" si="77"/>
        <v>1897.038702450347</v>
      </c>
      <c r="AE95" s="62">
        <f t="shared" si="77"/>
        <v>1888.9021853475551</v>
      </c>
      <c r="AF95" s="62">
        <f t="shared" si="77"/>
        <v>1881.1437821242089</v>
      </c>
      <c r="AG95" s="62">
        <f t="shared" si="77"/>
        <v>1873.7472243800021</v>
      </c>
      <c r="AH95" s="62">
        <f t="shared" si="77"/>
        <v>1866.6969116005585</v>
      </c>
      <c r="AI95" s="62">
        <f t="shared" si="77"/>
        <v>1859.9778845901365</v>
      </c>
      <c r="AJ95" s="62">
        <f t="shared" si="77"/>
        <v>1853.5757999373909</v>
      </c>
      <c r="AK95" s="62">
        <f t="shared" si="77"/>
        <v>1847.4769054747403</v>
      </c>
      <c r="AL95" s="62">
        <f t="shared" si="77"/>
        <v>1841.6680166932547</v>
      </c>
      <c r="AM95" s="62">
        <f t="shared" ref="AM95:AQ95" si="78">AM64-(IF(AM93&lt;AM94, AM93, AM94))</f>
        <v>1836.1364940766016</v>
      </c>
      <c r="AN95" s="62">
        <f t="shared" si="78"/>
        <v>1830.8702213187953</v>
      </c>
      <c r="AO95" s="62">
        <f t="shared" si="78"/>
        <v>1825.8575843918989</v>
      </c>
      <c r="AP95" s="62">
        <f t="shared" si="78"/>
        <v>1821.0874514311636</v>
      </c>
      <c r="AQ95" s="62">
        <f t="shared" si="78"/>
        <v>1816.5491534061694</v>
      </c>
    </row>
    <row r="96" spans="2:43" x14ac:dyDescent="0.35">
      <c r="B96" s="53" t="s">
        <v>108</v>
      </c>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row>
    <row r="97" spans="1:43" s="137" customFormat="1" x14ac:dyDescent="0.35">
      <c r="B97" s="235" t="s">
        <v>293</v>
      </c>
      <c r="G97" s="236">
        <v>0.45479999999999998</v>
      </c>
      <c r="H97" s="236"/>
      <c r="I97" s="236">
        <v>0.45479999999999998</v>
      </c>
      <c r="J97" s="236">
        <v>0.45479999999999998</v>
      </c>
      <c r="K97" s="236">
        <v>0.45479999999999998</v>
      </c>
      <c r="L97" s="236">
        <v>0.45479999999999998</v>
      </c>
      <c r="M97" s="236">
        <v>0.45479999999999998</v>
      </c>
      <c r="N97" s="236">
        <v>0.45479999999999998</v>
      </c>
      <c r="O97" s="236">
        <v>0.45479999999999998</v>
      </c>
      <c r="P97" s="236">
        <v>0.45479999999999998</v>
      </c>
      <c r="Q97" s="236">
        <v>0.45479999999999998</v>
      </c>
      <c r="R97" s="236">
        <v>0.45479999999999998</v>
      </c>
      <c r="S97" s="236">
        <v>0.45479999999999998</v>
      </c>
      <c r="T97" s="236">
        <v>0.45479999999999998</v>
      </c>
      <c r="U97" s="236">
        <v>0.45479999999999998</v>
      </c>
      <c r="V97" s="236">
        <v>0.45479999999999998</v>
      </c>
      <c r="W97" s="236">
        <v>0.45479999999999998</v>
      </c>
      <c r="X97" s="236">
        <v>0.45479999999999998</v>
      </c>
      <c r="Y97" s="236">
        <v>0.45479999999999998</v>
      </c>
      <c r="Z97" s="236">
        <v>0.45479999999999998</v>
      </c>
      <c r="AA97" s="236">
        <v>0.45479999999999998</v>
      </c>
      <c r="AB97" s="236">
        <v>0.45479999999999998</v>
      </c>
      <c r="AC97" s="236">
        <v>0.45479999999999998</v>
      </c>
      <c r="AD97" s="236">
        <v>0.45479999999999998</v>
      </c>
      <c r="AE97" s="236">
        <v>0.45479999999999998</v>
      </c>
      <c r="AF97" s="236">
        <v>0.45479999999999998</v>
      </c>
      <c r="AG97" s="236">
        <v>0.45479999999999998</v>
      </c>
      <c r="AH97" s="236">
        <v>0.45479999999999998</v>
      </c>
      <c r="AI97" s="236">
        <v>0.45479999999999998</v>
      </c>
      <c r="AJ97" s="236">
        <v>0.45479999999999998</v>
      </c>
      <c r="AK97" s="236">
        <v>0.45479999999999998</v>
      </c>
      <c r="AL97" s="236">
        <v>0.45479999999999998</v>
      </c>
      <c r="AM97" s="236">
        <v>0.45479999999999998</v>
      </c>
      <c r="AN97" s="236">
        <v>0.45479999999999998</v>
      </c>
      <c r="AO97" s="236">
        <v>0.45479999999999998</v>
      </c>
      <c r="AP97" s="236">
        <v>0.45479999999999998</v>
      </c>
      <c r="AQ97" s="236">
        <v>0.45479999999999998</v>
      </c>
    </row>
    <row r="98" spans="1:43" x14ac:dyDescent="0.35">
      <c r="B98" s="52" t="s">
        <v>115</v>
      </c>
      <c r="G98" s="62">
        <f>G49*G97/100</f>
        <v>2500.8641005498821</v>
      </c>
      <c r="H98" s="62"/>
      <c r="I98" s="62">
        <f t="shared" ref="I98:AL98" si="79">I49*I97/100</f>
        <v>2500.8641005498821</v>
      </c>
      <c r="J98" s="62">
        <f t="shared" si="79"/>
        <v>2500.8641005498821</v>
      </c>
      <c r="K98" s="62">
        <f t="shared" si="79"/>
        <v>2500.8641005498821</v>
      </c>
      <c r="L98" s="62">
        <f t="shared" si="79"/>
        <v>2500.8641005498821</v>
      </c>
      <c r="M98" s="62">
        <f t="shared" si="79"/>
        <v>2500.8641005498821</v>
      </c>
      <c r="N98" s="62">
        <f t="shared" si="79"/>
        <v>2500.8641005498821</v>
      </c>
      <c r="O98" s="62">
        <f t="shared" si="79"/>
        <v>2500.8641005498821</v>
      </c>
      <c r="P98" s="62">
        <f t="shared" si="79"/>
        <v>2500.8641005498821</v>
      </c>
      <c r="Q98" s="62">
        <f t="shared" si="79"/>
        <v>2500.8641005498821</v>
      </c>
      <c r="R98" s="62">
        <f t="shared" si="79"/>
        <v>2500.8641005498821</v>
      </c>
      <c r="S98" s="62">
        <f t="shared" si="79"/>
        <v>2500.8641005498821</v>
      </c>
      <c r="T98" s="62">
        <f t="shared" si="79"/>
        <v>2500.8641005498821</v>
      </c>
      <c r="U98" s="62">
        <f t="shared" si="79"/>
        <v>2500.8641005498821</v>
      </c>
      <c r="V98" s="62">
        <f t="shared" si="79"/>
        <v>2500.8641005498821</v>
      </c>
      <c r="W98" s="62">
        <f t="shared" si="79"/>
        <v>2500.8641005498821</v>
      </c>
      <c r="X98" s="62">
        <f t="shared" si="79"/>
        <v>2500.8641005498821</v>
      </c>
      <c r="Y98" s="62">
        <f t="shared" si="79"/>
        <v>2500.8641005498821</v>
      </c>
      <c r="Z98" s="62">
        <f t="shared" si="79"/>
        <v>2500.8641005498821</v>
      </c>
      <c r="AA98" s="62">
        <f t="shared" si="79"/>
        <v>2500.8641005498821</v>
      </c>
      <c r="AB98" s="62">
        <f t="shared" si="79"/>
        <v>2500.8641005498821</v>
      </c>
      <c r="AC98" s="62">
        <f t="shared" si="79"/>
        <v>2500.8641005498821</v>
      </c>
      <c r="AD98" s="62">
        <f t="shared" si="79"/>
        <v>2500.8641005498821</v>
      </c>
      <c r="AE98" s="62">
        <f t="shared" si="79"/>
        <v>2500.8641005498821</v>
      </c>
      <c r="AF98" s="62">
        <f t="shared" si="79"/>
        <v>2500.8641005498821</v>
      </c>
      <c r="AG98" s="62">
        <f t="shared" si="79"/>
        <v>2500.8641005498821</v>
      </c>
      <c r="AH98" s="62">
        <f t="shared" si="79"/>
        <v>2500.8641005498821</v>
      </c>
      <c r="AI98" s="62">
        <f t="shared" si="79"/>
        <v>2500.8641005498821</v>
      </c>
      <c r="AJ98" s="62">
        <f t="shared" si="79"/>
        <v>2500.8641005498821</v>
      </c>
      <c r="AK98" s="62">
        <f t="shared" si="79"/>
        <v>2500.8641005498821</v>
      </c>
      <c r="AL98" s="62">
        <f t="shared" si="79"/>
        <v>2500.8641005498821</v>
      </c>
      <c r="AM98" s="62">
        <f t="shared" ref="AM98:AQ98" si="80">AM49*AM97/100</f>
        <v>2500.8641005498821</v>
      </c>
      <c r="AN98" s="62">
        <f t="shared" si="80"/>
        <v>2500.8641005498821</v>
      </c>
      <c r="AO98" s="62">
        <f t="shared" si="80"/>
        <v>2500.8641005498821</v>
      </c>
      <c r="AP98" s="62">
        <f t="shared" si="80"/>
        <v>2500.8641005498821</v>
      </c>
      <c r="AQ98" s="62">
        <f t="shared" si="80"/>
        <v>2500.8641005498821</v>
      </c>
    </row>
    <row r="99" spans="1:43" x14ac:dyDescent="0.35">
      <c r="B99" s="52" t="s">
        <v>116</v>
      </c>
      <c r="G99" s="62">
        <f>G48*(IF(G48&lt;10000, 0.015, IF(G48&lt;47001, 0.03, 0)))</f>
        <v>0</v>
      </c>
      <c r="H99" s="62"/>
      <c r="I99" s="62">
        <f t="shared" ref="I99:AL99" si="81">I48*(IF(I48&lt;10000, 0.015, IF(I48&lt;47001, 0.03, 0)))</f>
        <v>0</v>
      </c>
      <c r="J99" s="62">
        <f t="shared" si="81"/>
        <v>0</v>
      </c>
      <c r="K99" s="62">
        <f t="shared" si="81"/>
        <v>0</v>
      </c>
      <c r="L99" s="62">
        <f t="shared" si="81"/>
        <v>0</v>
      </c>
      <c r="M99" s="62">
        <f t="shared" si="81"/>
        <v>0</v>
      </c>
      <c r="N99" s="62">
        <f t="shared" si="81"/>
        <v>0</v>
      </c>
      <c r="O99" s="62">
        <f t="shared" si="81"/>
        <v>0</v>
      </c>
      <c r="P99" s="62">
        <f t="shared" si="81"/>
        <v>0</v>
      </c>
      <c r="Q99" s="62">
        <f t="shared" si="81"/>
        <v>0</v>
      </c>
      <c r="R99" s="62">
        <f t="shared" si="81"/>
        <v>0</v>
      </c>
      <c r="S99" s="62">
        <f t="shared" si="81"/>
        <v>0</v>
      </c>
      <c r="T99" s="62">
        <f t="shared" si="81"/>
        <v>0</v>
      </c>
      <c r="U99" s="62">
        <f t="shared" si="81"/>
        <v>0</v>
      </c>
      <c r="V99" s="62">
        <f t="shared" si="81"/>
        <v>0</v>
      </c>
      <c r="W99" s="62">
        <f t="shared" si="81"/>
        <v>0</v>
      </c>
      <c r="X99" s="62">
        <f t="shared" si="81"/>
        <v>0</v>
      </c>
      <c r="Y99" s="62">
        <f t="shared" si="81"/>
        <v>0</v>
      </c>
      <c r="Z99" s="62">
        <f t="shared" si="81"/>
        <v>0</v>
      </c>
      <c r="AA99" s="62">
        <f t="shared" si="81"/>
        <v>0</v>
      </c>
      <c r="AB99" s="62">
        <f t="shared" si="81"/>
        <v>0</v>
      </c>
      <c r="AC99" s="62">
        <f t="shared" si="81"/>
        <v>0</v>
      </c>
      <c r="AD99" s="62">
        <f t="shared" si="81"/>
        <v>0</v>
      </c>
      <c r="AE99" s="62">
        <f t="shared" si="81"/>
        <v>0</v>
      </c>
      <c r="AF99" s="62">
        <f t="shared" si="81"/>
        <v>0</v>
      </c>
      <c r="AG99" s="62">
        <f t="shared" si="81"/>
        <v>0</v>
      </c>
      <c r="AH99" s="62">
        <f t="shared" si="81"/>
        <v>0</v>
      </c>
      <c r="AI99" s="62">
        <f t="shared" si="81"/>
        <v>0</v>
      </c>
      <c r="AJ99" s="62">
        <f t="shared" si="81"/>
        <v>0</v>
      </c>
      <c r="AK99" s="62">
        <f t="shared" si="81"/>
        <v>0</v>
      </c>
      <c r="AL99" s="62">
        <f t="shared" si="81"/>
        <v>0</v>
      </c>
      <c r="AM99" s="62">
        <f t="shared" ref="AM99:AQ99" si="82">AM48*(IF(AM48&lt;10000, 0.015, IF(AM48&lt;47001, 0.03, 0)))</f>
        <v>0</v>
      </c>
      <c r="AN99" s="62">
        <f t="shared" si="82"/>
        <v>0</v>
      </c>
      <c r="AO99" s="62">
        <f t="shared" si="82"/>
        <v>0</v>
      </c>
      <c r="AP99" s="62">
        <f t="shared" si="82"/>
        <v>0</v>
      </c>
      <c r="AQ99" s="62">
        <f t="shared" si="82"/>
        <v>0</v>
      </c>
    </row>
    <row r="100" spans="1:43" x14ac:dyDescent="0.35">
      <c r="B100" s="52" t="s">
        <v>118</v>
      </c>
      <c r="G100" s="62">
        <f>IF((G98-G99)&gt;0, (G98-G99), 0)</f>
        <v>2500.8641005498821</v>
      </c>
      <c r="H100" s="62"/>
      <c r="I100" s="62">
        <f>IF((I98-I99)&gt;0, (I98-I99), 0)</f>
        <v>2500.8641005498821</v>
      </c>
      <c r="J100" s="62">
        <f t="shared" ref="J100:AL100" si="83">IF((J98-J99)&gt;0, (J98-J99), 0)</f>
        <v>2500.8641005498821</v>
      </c>
      <c r="K100" s="62">
        <f t="shared" si="83"/>
        <v>2500.8641005498821</v>
      </c>
      <c r="L100" s="62">
        <f t="shared" si="83"/>
        <v>2500.8641005498821</v>
      </c>
      <c r="M100" s="62">
        <f t="shared" si="83"/>
        <v>2500.8641005498821</v>
      </c>
      <c r="N100" s="62">
        <f t="shared" si="83"/>
        <v>2500.8641005498821</v>
      </c>
      <c r="O100" s="62">
        <f t="shared" si="83"/>
        <v>2500.8641005498821</v>
      </c>
      <c r="P100" s="62">
        <f t="shared" si="83"/>
        <v>2500.8641005498821</v>
      </c>
      <c r="Q100" s="62">
        <f t="shared" si="83"/>
        <v>2500.8641005498821</v>
      </c>
      <c r="R100" s="62">
        <f t="shared" si="83"/>
        <v>2500.8641005498821</v>
      </c>
      <c r="S100" s="62">
        <f t="shared" si="83"/>
        <v>2500.8641005498821</v>
      </c>
      <c r="T100" s="62">
        <f t="shared" si="83"/>
        <v>2500.8641005498821</v>
      </c>
      <c r="U100" s="62">
        <f t="shared" si="83"/>
        <v>2500.8641005498821</v>
      </c>
      <c r="V100" s="62">
        <f t="shared" si="83"/>
        <v>2500.8641005498821</v>
      </c>
      <c r="W100" s="62">
        <f t="shared" si="83"/>
        <v>2500.8641005498821</v>
      </c>
      <c r="X100" s="62">
        <f t="shared" si="83"/>
        <v>2500.8641005498821</v>
      </c>
      <c r="Y100" s="62">
        <f t="shared" si="83"/>
        <v>2500.8641005498821</v>
      </c>
      <c r="Z100" s="62">
        <f t="shared" si="83"/>
        <v>2500.8641005498821</v>
      </c>
      <c r="AA100" s="62">
        <f t="shared" si="83"/>
        <v>2500.8641005498821</v>
      </c>
      <c r="AB100" s="62">
        <f t="shared" si="83"/>
        <v>2500.8641005498821</v>
      </c>
      <c r="AC100" s="62">
        <f t="shared" si="83"/>
        <v>2500.8641005498821</v>
      </c>
      <c r="AD100" s="62">
        <f t="shared" si="83"/>
        <v>2500.8641005498821</v>
      </c>
      <c r="AE100" s="62">
        <f t="shared" si="83"/>
        <v>2500.8641005498821</v>
      </c>
      <c r="AF100" s="62">
        <f t="shared" si="83"/>
        <v>2500.8641005498821</v>
      </c>
      <c r="AG100" s="62">
        <f t="shared" si="83"/>
        <v>2500.8641005498821</v>
      </c>
      <c r="AH100" s="62">
        <f t="shared" si="83"/>
        <v>2500.8641005498821</v>
      </c>
      <c r="AI100" s="62">
        <f t="shared" si="83"/>
        <v>2500.8641005498821</v>
      </c>
      <c r="AJ100" s="62">
        <f t="shared" si="83"/>
        <v>2500.8641005498821</v>
      </c>
      <c r="AK100" s="62">
        <f t="shared" si="83"/>
        <v>2500.8641005498821</v>
      </c>
      <c r="AL100" s="62">
        <f t="shared" si="83"/>
        <v>2500.8641005498821</v>
      </c>
      <c r="AM100" s="62">
        <f t="shared" ref="AM100:AQ100" si="84">IF((AM98-AM99)&gt;0, (AM98-AM99), 0)</f>
        <v>2500.8641005498821</v>
      </c>
      <c r="AN100" s="62">
        <f t="shared" si="84"/>
        <v>2500.8641005498821</v>
      </c>
      <c r="AO100" s="62">
        <f t="shared" si="84"/>
        <v>2500.8641005498821</v>
      </c>
      <c r="AP100" s="62">
        <f t="shared" si="84"/>
        <v>2500.8641005498821</v>
      </c>
      <c r="AQ100" s="62">
        <f t="shared" si="84"/>
        <v>2500.8641005498821</v>
      </c>
    </row>
    <row r="101" spans="1:43" x14ac:dyDescent="0.35">
      <c r="B101" s="53" t="s">
        <v>109</v>
      </c>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row>
    <row r="102" spans="1:43" x14ac:dyDescent="0.35">
      <c r="B102" s="52" t="s">
        <v>116</v>
      </c>
      <c r="G102" s="62">
        <f>G48*(IF(G48&lt;10000, 0.005, IF(G48&lt;24999, 0.015, IF(G48&lt;47001, 0.02, 0))))</f>
        <v>0</v>
      </c>
      <c r="H102" s="62"/>
      <c r="I102" s="62">
        <f t="shared" ref="I102:AL102" si="85">I48*(IF(I48&lt;10000, 0.005, IF(I48&lt;24999, 0.015, IF(I48&lt;47001, 0.02, 0))))</f>
        <v>0</v>
      </c>
      <c r="J102" s="62">
        <f t="shared" si="85"/>
        <v>0</v>
      </c>
      <c r="K102" s="62">
        <f t="shared" si="85"/>
        <v>0</v>
      </c>
      <c r="L102" s="62">
        <f t="shared" si="85"/>
        <v>0</v>
      </c>
      <c r="M102" s="62">
        <f t="shared" si="85"/>
        <v>0</v>
      </c>
      <c r="N102" s="62">
        <f t="shared" si="85"/>
        <v>0</v>
      </c>
      <c r="O102" s="62">
        <f t="shared" si="85"/>
        <v>0</v>
      </c>
      <c r="P102" s="62">
        <f t="shared" si="85"/>
        <v>0</v>
      </c>
      <c r="Q102" s="62">
        <f t="shared" si="85"/>
        <v>0</v>
      </c>
      <c r="R102" s="62">
        <f t="shared" si="85"/>
        <v>0</v>
      </c>
      <c r="S102" s="62">
        <f t="shared" si="85"/>
        <v>0</v>
      </c>
      <c r="T102" s="62">
        <f t="shared" si="85"/>
        <v>0</v>
      </c>
      <c r="U102" s="62">
        <f t="shared" si="85"/>
        <v>0</v>
      </c>
      <c r="V102" s="62">
        <f t="shared" si="85"/>
        <v>0</v>
      </c>
      <c r="W102" s="62">
        <f t="shared" si="85"/>
        <v>0</v>
      </c>
      <c r="X102" s="62">
        <f t="shared" si="85"/>
        <v>0</v>
      </c>
      <c r="Y102" s="62">
        <f t="shared" si="85"/>
        <v>0</v>
      </c>
      <c r="Z102" s="62">
        <f t="shared" si="85"/>
        <v>0</v>
      </c>
      <c r="AA102" s="62">
        <f t="shared" si="85"/>
        <v>0</v>
      </c>
      <c r="AB102" s="62">
        <f t="shared" si="85"/>
        <v>0</v>
      </c>
      <c r="AC102" s="62">
        <f t="shared" si="85"/>
        <v>0</v>
      </c>
      <c r="AD102" s="62">
        <f t="shared" si="85"/>
        <v>0</v>
      </c>
      <c r="AE102" s="62">
        <f t="shared" si="85"/>
        <v>0</v>
      </c>
      <c r="AF102" s="62">
        <f t="shared" si="85"/>
        <v>0</v>
      </c>
      <c r="AG102" s="62">
        <f t="shared" si="85"/>
        <v>0</v>
      </c>
      <c r="AH102" s="62">
        <f t="shared" si="85"/>
        <v>0</v>
      </c>
      <c r="AI102" s="62">
        <f t="shared" si="85"/>
        <v>0</v>
      </c>
      <c r="AJ102" s="62">
        <f t="shared" si="85"/>
        <v>0</v>
      </c>
      <c r="AK102" s="62">
        <f t="shared" si="85"/>
        <v>0</v>
      </c>
      <c r="AL102" s="62">
        <f t="shared" si="85"/>
        <v>0</v>
      </c>
      <c r="AM102" s="62">
        <f t="shared" ref="AM102:AQ102" si="86">AM48*(IF(AM48&lt;10000, 0.005, IF(AM48&lt;24999, 0.015, IF(AM48&lt;47001, 0.02, 0))))</f>
        <v>0</v>
      </c>
      <c r="AN102" s="62">
        <f t="shared" si="86"/>
        <v>0</v>
      </c>
      <c r="AO102" s="62">
        <f t="shared" si="86"/>
        <v>0</v>
      </c>
      <c r="AP102" s="62">
        <f t="shared" si="86"/>
        <v>0</v>
      </c>
      <c r="AQ102" s="62">
        <f t="shared" si="86"/>
        <v>0</v>
      </c>
    </row>
    <row r="103" spans="1:43" x14ac:dyDescent="0.35">
      <c r="B103" s="52" t="s">
        <v>110</v>
      </c>
      <c r="D103" s="52"/>
      <c r="G103" s="62">
        <f>(G63-G86)-G102</f>
        <v>6209.9821785589156</v>
      </c>
      <c r="H103" s="62"/>
      <c r="I103" s="62">
        <f t="shared" ref="I103:AL103" si="87">(I63-I86)-I102</f>
        <v>6811.8952282697992</v>
      </c>
      <c r="J103" s="62">
        <f t="shared" si="87"/>
        <v>7262.8152667297409</v>
      </c>
      <c r="K103" s="62">
        <f t="shared" si="87"/>
        <v>7313.3670246080983</v>
      </c>
      <c r="L103" s="62">
        <f t="shared" si="87"/>
        <v>7462.1270376981392</v>
      </c>
      <c r="M103" s="62">
        <f t="shared" si="87"/>
        <v>7684.9460984573761</v>
      </c>
      <c r="N103" s="62">
        <f t="shared" si="87"/>
        <v>7719.2111712801607</v>
      </c>
      <c r="O103" s="62">
        <f t="shared" si="87"/>
        <v>7719.2111712801607</v>
      </c>
      <c r="P103" s="62">
        <f t="shared" si="87"/>
        <v>7719.2111712801616</v>
      </c>
      <c r="Q103" s="62">
        <f t="shared" si="87"/>
        <v>7719.2111712801607</v>
      </c>
      <c r="R103" s="62">
        <f t="shared" si="87"/>
        <v>7719.2111712801625</v>
      </c>
      <c r="S103" s="62">
        <f t="shared" si="87"/>
        <v>7719.2111712801616</v>
      </c>
      <c r="T103" s="62">
        <f t="shared" si="87"/>
        <v>7719.2111712801607</v>
      </c>
      <c r="U103" s="62">
        <f t="shared" si="87"/>
        <v>7719.2111712801607</v>
      </c>
      <c r="V103" s="62">
        <f t="shared" si="87"/>
        <v>7719.2111712801607</v>
      </c>
      <c r="W103" s="62">
        <f t="shared" si="87"/>
        <v>7719.2111712801598</v>
      </c>
      <c r="X103" s="62">
        <f t="shared" si="87"/>
        <v>7719.2111712801598</v>
      </c>
      <c r="Y103" s="62">
        <f t="shared" si="87"/>
        <v>7719.2111712801598</v>
      </c>
      <c r="Z103" s="62">
        <f t="shared" si="87"/>
        <v>7719.2111712801589</v>
      </c>
      <c r="AA103" s="62">
        <f t="shared" si="87"/>
        <v>7719.2111712801598</v>
      </c>
      <c r="AB103" s="62">
        <f t="shared" si="87"/>
        <v>7719.2111712801598</v>
      </c>
      <c r="AC103" s="62">
        <f t="shared" si="87"/>
        <v>7719.2111712801589</v>
      </c>
      <c r="AD103" s="62">
        <f t="shared" si="87"/>
        <v>7719.2111712801589</v>
      </c>
      <c r="AE103" s="62">
        <f t="shared" si="87"/>
        <v>7719.2111712801589</v>
      </c>
      <c r="AF103" s="62">
        <f t="shared" si="87"/>
        <v>7719.2111712801589</v>
      </c>
      <c r="AG103" s="62">
        <f t="shared" si="87"/>
        <v>7719.2111712801579</v>
      </c>
      <c r="AH103" s="62">
        <f t="shared" si="87"/>
        <v>7719.2111712801589</v>
      </c>
      <c r="AI103" s="62">
        <f t="shared" si="87"/>
        <v>7719.2111712801589</v>
      </c>
      <c r="AJ103" s="62">
        <f t="shared" si="87"/>
        <v>7719.2111712801579</v>
      </c>
      <c r="AK103" s="62">
        <f t="shared" si="87"/>
        <v>7719.2111712801589</v>
      </c>
      <c r="AL103" s="62">
        <f t="shared" si="87"/>
        <v>7719.2111712801579</v>
      </c>
      <c r="AM103" s="62">
        <f t="shared" ref="AM103:AQ103" si="88">(AM63-AM86)-AM102</f>
        <v>7719.2111712801589</v>
      </c>
      <c r="AN103" s="62">
        <f t="shared" si="88"/>
        <v>7719.2111712801579</v>
      </c>
      <c r="AO103" s="62">
        <f t="shared" si="88"/>
        <v>7719.2111712801579</v>
      </c>
      <c r="AP103" s="62">
        <f t="shared" si="88"/>
        <v>7719.2111712801589</v>
      </c>
      <c r="AQ103" s="62">
        <f t="shared" si="88"/>
        <v>7719.211171280157</v>
      </c>
    </row>
    <row r="104" spans="1:43" x14ac:dyDescent="0.35">
      <c r="B104" s="52" t="s">
        <v>111</v>
      </c>
      <c r="D104" s="52"/>
      <c r="G104" s="62">
        <f>(G64-G87)-G102</f>
        <v>7405.2581555659654</v>
      </c>
      <c r="H104" s="62"/>
      <c r="I104" s="62">
        <f t="shared" ref="I104:AL104" si="89">(I64-I87)-I102</f>
        <v>6811.8952282697992</v>
      </c>
      <c r="J104" s="62">
        <f t="shared" si="89"/>
        <v>7262.8152667297409</v>
      </c>
      <c r="K104" s="62">
        <f t="shared" si="89"/>
        <v>7313.3670246080983</v>
      </c>
      <c r="L104" s="62">
        <f t="shared" si="89"/>
        <v>7462.1270376981392</v>
      </c>
      <c r="M104" s="62">
        <f t="shared" si="89"/>
        <v>8918.0925773073141</v>
      </c>
      <c r="N104" s="62">
        <f t="shared" si="89"/>
        <v>8952.7004215693087</v>
      </c>
      <c r="O104" s="62">
        <f t="shared" si="89"/>
        <v>8951.6098449935271</v>
      </c>
      <c r="P104" s="62">
        <f t="shared" si="89"/>
        <v>8949.182469837906</v>
      </c>
      <c r="Q104" s="62">
        <f t="shared" si="89"/>
        <v>8945.5099547301033</v>
      </c>
      <c r="R104" s="62">
        <f t="shared" si="89"/>
        <v>8977.3885292382183</v>
      </c>
      <c r="S104" s="62">
        <f t="shared" si="89"/>
        <v>8914.5056460028081</v>
      </c>
      <c r="T104" s="62">
        <f t="shared" si="89"/>
        <v>8854.4369219094169</v>
      </c>
      <c r="U104" s="62">
        <f t="shared" si="89"/>
        <v>8797.0639371135876</v>
      </c>
      <c r="V104" s="62">
        <f t="shared" si="89"/>
        <v>8742.2730627090714</v>
      </c>
      <c r="W104" s="62">
        <f t="shared" si="89"/>
        <v>8689.9552721221135</v>
      </c>
      <c r="X104" s="62">
        <f t="shared" si="89"/>
        <v>8640.0059597829768</v>
      </c>
      <c r="Y104" s="62">
        <f t="shared" si="89"/>
        <v>8592.3247667982614</v>
      </c>
      <c r="Z104" s="62">
        <f t="shared" si="89"/>
        <v>8546.8154133578337</v>
      </c>
      <c r="AA104" s="62">
        <f t="shared" si="89"/>
        <v>8503.3855376202646</v>
      </c>
      <c r="AB104" s="62">
        <f t="shared" si="89"/>
        <v>8461.9465408302967</v>
      </c>
      <c r="AC104" s="62">
        <f t="shared" si="89"/>
        <v>8422.4134384310164</v>
      </c>
      <c r="AD104" s="62">
        <f t="shared" si="89"/>
        <v>8384.7047169425005</v>
      </c>
      <c r="AE104" s="62">
        <f t="shared" si="89"/>
        <v>8348.742196387102</v>
      </c>
      <c r="AF104" s="62">
        <f t="shared" si="89"/>
        <v>8314.4508980500086</v>
      </c>
      <c r="AG104" s="62">
        <f t="shared" si="89"/>
        <v>8281.7589173714532</v>
      </c>
      <c r="AH104" s="62">
        <f t="shared" si="89"/>
        <v>8250.5973017748074</v>
      </c>
      <c r="AI104" s="62">
        <f t="shared" si="89"/>
        <v>8220.8999332420481</v>
      </c>
      <c r="AJ104" s="62">
        <f t="shared" si="89"/>
        <v>8192.6034154552526</v>
      </c>
      <c r="AK104" s="62">
        <f t="shared" si="89"/>
        <v>8165.6469653295453</v>
      </c>
      <c r="AL104" s="62">
        <f t="shared" si="89"/>
        <v>8139.9723087696093</v>
      </c>
      <c r="AM104" s="62">
        <f t="shared" ref="AM104:AQ104" si="90">(AM64-AM87)-AM102</f>
        <v>8115.5235804881013</v>
      </c>
      <c r="AN104" s="62">
        <f t="shared" si="90"/>
        <v>8092.2472277304714</v>
      </c>
      <c r="AO104" s="62">
        <f t="shared" si="90"/>
        <v>8070.0919177565829</v>
      </c>
      <c r="AP104" s="62">
        <f t="shared" si="90"/>
        <v>8049.0084489350738</v>
      </c>
      <c r="AQ104" s="62">
        <f t="shared" si="90"/>
        <v>8028.9496653119877</v>
      </c>
    </row>
    <row r="105" spans="1:43" x14ac:dyDescent="0.35">
      <c r="B105" s="52"/>
      <c r="D105" s="5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row>
    <row r="106" spans="1:43" x14ac:dyDescent="0.35">
      <c r="B106" s="52" t="s">
        <v>112</v>
      </c>
      <c r="D106" s="52"/>
      <c r="G106" s="62">
        <f>IF(G48&gt;=90000, G69, IF(G48&gt;=47000, G71, G73))</f>
        <v>0</v>
      </c>
      <c r="H106" s="62"/>
      <c r="I106" s="62">
        <f t="shared" ref="I106:AL106" si="91">IF(I48&gt;=90000, I69, IF(I48&gt;=47000, I71, I73))</f>
        <v>0</v>
      </c>
      <c r="J106" s="62">
        <f t="shared" si="91"/>
        <v>0</v>
      </c>
      <c r="K106" s="62">
        <f t="shared" si="91"/>
        <v>0</v>
      </c>
      <c r="L106" s="62">
        <f t="shared" si="91"/>
        <v>0</v>
      </c>
      <c r="M106" s="62">
        <f t="shared" si="91"/>
        <v>0</v>
      </c>
      <c r="N106" s="62">
        <f t="shared" si="91"/>
        <v>0</v>
      </c>
      <c r="O106" s="62">
        <f t="shared" si="91"/>
        <v>0</v>
      </c>
      <c r="P106" s="62">
        <f t="shared" si="91"/>
        <v>0</v>
      </c>
      <c r="Q106" s="62">
        <f t="shared" si="91"/>
        <v>0</v>
      </c>
      <c r="R106" s="62">
        <f t="shared" si="91"/>
        <v>0</v>
      </c>
      <c r="S106" s="62">
        <f t="shared" si="91"/>
        <v>0</v>
      </c>
      <c r="T106" s="62">
        <f t="shared" si="91"/>
        <v>0</v>
      </c>
      <c r="U106" s="62">
        <f t="shared" si="91"/>
        <v>0</v>
      </c>
      <c r="V106" s="62">
        <f t="shared" si="91"/>
        <v>0</v>
      </c>
      <c r="W106" s="62">
        <f t="shared" si="91"/>
        <v>0</v>
      </c>
      <c r="X106" s="62">
        <f t="shared" si="91"/>
        <v>0</v>
      </c>
      <c r="Y106" s="62">
        <f t="shared" si="91"/>
        <v>0</v>
      </c>
      <c r="Z106" s="62">
        <f t="shared" si="91"/>
        <v>0</v>
      </c>
      <c r="AA106" s="62">
        <f t="shared" si="91"/>
        <v>0</v>
      </c>
      <c r="AB106" s="62">
        <f t="shared" si="91"/>
        <v>0</v>
      </c>
      <c r="AC106" s="62">
        <f t="shared" si="91"/>
        <v>0</v>
      </c>
      <c r="AD106" s="62">
        <f t="shared" si="91"/>
        <v>0</v>
      </c>
      <c r="AE106" s="62">
        <f t="shared" si="91"/>
        <v>0</v>
      </c>
      <c r="AF106" s="62">
        <f t="shared" si="91"/>
        <v>0</v>
      </c>
      <c r="AG106" s="62">
        <f t="shared" si="91"/>
        <v>0</v>
      </c>
      <c r="AH106" s="62">
        <f t="shared" si="91"/>
        <v>0</v>
      </c>
      <c r="AI106" s="62">
        <f t="shared" si="91"/>
        <v>0</v>
      </c>
      <c r="AJ106" s="62">
        <f t="shared" si="91"/>
        <v>0</v>
      </c>
      <c r="AK106" s="62">
        <f t="shared" si="91"/>
        <v>0</v>
      </c>
      <c r="AL106" s="62">
        <f t="shared" si="91"/>
        <v>0</v>
      </c>
      <c r="AM106" s="62">
        <f t="shared" ref="AM106:AQ106" si="92">IF(AM48&gt;=90000, AM69, IF(AM48&gt;=47000, AM71, AM73))</f>
        <v>0</v>
      </c>
      <c r="AN106" s="62">
        <f t="shared" si="92"/>
        <v>0</v>
      </c>
      <c r="AO106" s="62">
        <f t="shared" si="92"/>
        <v>0</v>
      </c>
      <c r="AP106" s="62">
        <f t="shared" si="92"/>
        <v>0</v>
      </c>
      <c r="AQ106" s="62">
        <f t="shared" si="92"/>
        <v>0</v>
      </c>
    </row>
    <row r="107" spans="1:43" x14ac:dyDescent="0.35">
      <c r="B107" s="52" t="s">
        <v>113</v>
      </c>
      <c r="D107" s="52"/>
      <c r="G107" s="62">
        <f>IF(G48&gt;=90000, G70, IF(G48&gt;=47000, G72, G74))</f>
        <v>0</v>
      </c>
      <c r="H107" s="62"/>
      <c r="I107" s="62">
        <f t="shared" ref="I107:AL107" si="93">IF(I48&gt;=90000, I70, IF(I48&gt;=47000, I72, I74))</f>
        <v>0</v>
      </c>
      <c r="J107" s="62">
        <f t="shared" si="93"/>
        <v>0</v>
      </c>
      <c r="K107" s="62">
        <f t="shared" si="93"/>
        <v>0</v>
      </c>
      <c r="L107" s="62">
        <f t="shared" si="93"/>
        <v>0</v>
      </c>
      <c r="M107" s="62">
        <f t="shared" si="93"/>
        <v>0</v>
      </c>
      <c r="N107" s="62">
        <f t="shared" si="93"/>
        <v>0</v>
      </c>
      <c r="O107" s="62">
        <f t="shared" si="93"/>
        <v>0</v>
      </c>
      <c r="P107" s="62">
        <f t="shared" si="93"/>
        <v>0</v>
      </c>
      <c r="Q107" s="62">
        <f t="shared" si="93"/>
        <v>0</v>
      </c>
      <c r="R107" s="62">
        <f t="shared" si="93"/>
        <v>0</v>
      </c>
      <c r="S107" s="62">
        <f t="shared" si="93"/>
        <v>0</v>
      </c>
      <c r="T107" s="62">
        <f t="shared" si="93"/>
        <v>0</v>
      </c>
      <c r="U107" s="62">
        <f t="shared" si="93"/>
        <v>0</v>
      </c>
      <c r="V107" s="62">
        <f t="shared" si="93"/>
        <v>0</v>
      </c>
      <c r="W107" s="62">
        <f t="shared" si="93"/>
        <v>0</v>
      </c>
      <c r="X107" s="62">
        <f t="shared" si="93"/>
        <v>0</v>
      </c>
      <c r="Y107" s="62">
        <f t="shared" si="93"/>
        <v>0</v>
      </c>
      <c r="Z107" s="62">
        <f t="shared" si="93"/>
        <v>0</v>
      </c>
      <c r="AA107" s="62">
        <f t="shared" si="93"/>
        <v>0</v>
      </c>
      <c r="AB107" s="62">
        <f t="shared" si="93"/>
        <v>0</v>
      </c>
      <c r="AC107" s="62">
        <f t="shared" si="93"/>
        <v>0</v>
      </c>
      <c r="AD107" s="62">
        <f t="shared" si="93"/>
        <v>0</v>
      </c>
      <c r="AE107" s="62">
        <f t="shared" si="93"/>
        <v>0</v>
      </c>
      <c r="AF107" s="62">
        <f t="shared" si="93"/>
        <v>0</v>
      </c>
      <c r="AG107" s="62">
        <f t="shared" si="93"/>
        <v>0</v>
      </c>
      <c r="AH107" s="62">
        <f t="shared" si="93"/>
        <v>0</v>
      </c>
      <c r="AI107" s="62">
        <f t="shared" si="93"/>
        <v>0</v>
      </c>
      <c r="AJ107" s="62">
        <f t="shared" si="93"/>
        <v>0</v>
      </c>
      <c r="AK107" s="62">
        <f t="shared" si="93"/>
        <v>0</v>
      </c>
      <c r="AL107" s="62">
        <f t="shared" si="93"/>
        <v>0</v>
      </c>
      <c r="AM107" s="62">
        <f t="shared" ref="AM107:AQ107" si="94">IF(AM48&gt;=90000, AM70, IF(AM48&gt;=47000, AM72, AM74))</f>
        <v>0</v>
      </c>
      <c r="AN107" s="62">
        <f t="shared" si="94"/>
        <v>0</v>
      </c>
      <c r="AO107" s="62">
        <f t="shared" si="94"/>
        <v>0</v>
      </c>
      <c r="AP107" s="62">
        <f t="shared" si="94"/>
        <v>0</v>
      </c>
      <c r="AQ107" s="62">
        <f t="shared" si="94"/>
        <v>0</v>
      </c>
    </row>
    <row r="108" spans="1:43" x14ac:dyDescent="0.35">
      <c r="B108" s="27"/>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row>
    <row r="109" spans="1:43" x14ac:dyDescent="0.35">
      <c r="A109" s="42" t="s">
        <v>84</v>
      </c>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row>
    <row r="110" spans="1:43" x14ac:dyDescent="0.35">
      <c r="A110" s="42"/>
      <c r="B110" s="27" t="s">
        <v>96</v>
      </c>
      <c r="E110" s="43"/>
      <c r="G110" s="60">
        <f>G63-G75</f>
        <v>7614.9900985693675</v>
      </c>
      <c r="H110" s="60"/>
      <c r="I110" s="60">
        <f t="shared" ref="I110:AL110" si="95">I63-I75</f>
        <v>8370.8541952530486</v>
      </c>
      <c r="J110" s="60">
        <f t="shared" si="95"/>
        <v>8906.0265800504676</v>
      </c>
      <c r="K110" s="60">
        <f t="shared" si="95"/>
        <v>8968.0156686887694</v>
      </c>
      <c r="L110" s="60">
        <f t="shared" si="95"/>
        <v>9150.4326216157733</v>
      </c>
      <c r="M110" s="60">
        <f t="shared" si="95"/>
        <v>9423.664475213116</v>
      </c>
      <c r="N110" s="60">
        <f t="shared" si="95"/>
        <v>9465.6820177389491</v>
      </c>
      <c r="O110" s="60">
        <f t="shared" si="95"/>
        <v>9465.6820177389491</v>
      </c>
      <c r="P110" s="60">
        <f t="shared" si="95"/>
        <v>9465.6820177389491</v>
      </c>
      <c r="Q110" s="60">
        <f t="shared" si="95"/>
        <v>9465.6820177389491</v>
      </c>
      <c r="R110" s="60">
        <f t="shared" si="95"/>
        <v>9465.6820177389509</v>
      </c>
      <c r="S110" s="60">
        <f t="shared" si="95"/>
        <v>9465.6820177389491</v>
      </c>
      <c r="T110" s="60">
        <f t="shared" si="95"/>
        <v>9465.6820177389491</v>
      </c>
      <c r="U110" s="60">
        <f t="shared" si="95"/>
        <v>9465.6820177389491</v>
      </c>
      <c r="V110" s="60">
        <f t="shared" si="95"/>
        <v>9465.6820177389491</v>
      </c>
      <c r="W110" s="60">
        <f t="shared" si="95"/>
        <v>9465.6820177389473</v>
      </c>
      <c r="X110" s="60">
        <f t="shared" si="95"/>
        <v>9465.6820177389454</v>
      </c>
      <c r="Y110" s="60">
        <f t="shared" si="95"/>
        <v>9465.6820177389454</v>
      </c>
      <c r="Z110" s="60">
        <f t="shared" si="95"/>
        <v>9465.6820177389454</v>
      </c>
      <c r="AA110" s="60">
        <f t="shared" si="95"/>
        <v>9465.6820177389454</v>
      </c>
      <c r="AB110" s="60">
        <f t="shared" si="95"/>
        <v>9465.6820177389454</v>
      </c>
      <c r="AC110" s="60">
        <f t="shared" si="95"/>
        <v>9465.6820177389454</v>
      </c>
      <c r="AD110" s="60">
        <f t="shared" si="95"/>
        <v>9465.6820177389436</v>
      </c>
      <c r="AE110" s="60">
        <f t="shared" si="95"/>
        <v>9465.6820177389436</v>
      </c>
      <c r="AF110" s="60">
        <f t="shared" si="95"/>
        <v>9465.6820177389436</v>
      </c>
      <c r="AG110" s="60">
        <f t="shared" si="95"/>
        <v>9465.6820177389418</v>
      </c>
      <c r="AH110" s="60">
        <f t="shared" si="95"/>
        <v>9465.6820177389436</v>
      </c>
      <c r="AI110" s="60">
        <f t="shared" si="95"/>
        <v>9465.6820177389436</v>
      </c>
      <c r="AJ110" s="60">
        <f t="shared" si="95"/>
        <v>9465.6820177389436</v>
      </c>
      <c r="AK110" s="60">
        <f t="shared" si="95"/>
        <v>9465.6820177389454</v>
      </c>
      <c r="AL110" s="60">
        <f t="shared" si="95"/>
        <v>9465.6820177389436</v>
      </c>
      <c r="AM110" s="60">
        <f t="shared" ref="AM110:AQ110" si="96">AM63-AM75</f>
        <v>9465.6820177389454</v>
      </c>
      <c r="AN110" s="60">
        <f t="shared" si="96"/>
        <v>9465.6820177389454</v>
      </c>
      <c r="AO110" s="60">
        <f t="shared" si="96"/>
        <v>9465.6820177389436</v>
      </c>
      <c r="AP110" s="60">
        <f t="shared" si="96"/>
        <v>9465.6820177389454</v>
      </c>
      <c r="AQ110" s="60">
        <f t="shared" si="96"/>
        <v>9465.6820177389436</v>
      </c>
    </row>
    <row r="111" spans="1:43" x14ac:dyDescent="0.35">
      <c r="B111" s="27" t="s">
        <v>97</v>
      </c>
      <c r="G111" s="60">
        <f>G64-G76</f>
        <v>7614.9900985693675</v>
      </c>
      <c r="H111" s="60"/>
      <c r="I111" s="60">
        <f t="shared" ref="I111:AL111" si="97">I64-I76</f>
        <v>8370.8541952530486</v>
      </c>
      <c r="J111" s="60">
        <f t="shared" si="97"/>
        <v>8906.0265800504676</v>
      </c>
      <c r="K111" s="60">
        <f t="shared" si="97"/>
        <v>8968.0156686887694</v>
      </c>
      <c r="L111" s="60">
        <f t="shared" si="97"/>
        <v>9150.4326216157733</v>
      </c>
      <c r="M111" s="60">
        <f t="shared" si="97"/>
        <v>10935.810236105954</v>
      </c>
      <c r="N111" s="60">
        <f t="shared" si="97"/>
        <v>10978.248102078878</v>
      </c>
      <c r="O111" s="60">
        <f t="shared" si="97"/>
        <v>10976.910782649047</v>
      </c>
      <c r="P111" s="60">
        <f t="shared" si="97"/>
        <v>10973.934214078625</v>
      </c>
      <c r="Q111" s="60">
        <f t="shared" si="97"/>
        <v>10969.430792751698</v>
      </c>
      <c r="R111" s="60">
        <f t="shared" si="97"/>
        <v>11008.521891929722</v>
      </c>
      <c r="S111" s="60">
        <f t="shared" si="97"/>
        <v>10931.411761910273</v>
      </c>
      <c r="T111" s="60">
        <f t="shared" si="97"/>
        <v>10857.752494290438</v>
      </c>
      <c r="U111" s="60">
        <f t="shared" si="97"/>
        <v>10787.398876746402</v>
      </c>
      <c r="V111" s="60">
        <f t="shared" si="97"/>
        <v>10720.211571841901</v>
      </c>
      <c r="W111" s="60">
        <f t="shared" si="97"/>
        <v>10656.05688575049</v>
      </c>
      <c r="X111" s="60">
        <f t="shared" si="97"/>
        <v>10594.806545901503</v>
      </c>
      <c r="Y111" s="60">
        <f t="shared" si="97"/>
        <v>10536.337487210767</v>
      </c>
      <c r="Z111" s="60">
        <f t="shared" si="97"/>
        <v>10480.531646569598</v>
      </c>
      <c r="AA111" s="60">
        <f t="shared" si="97"/>
        <v>10427.275765278095</v>
      </c>
      <c r="AB111" s="60">
        <f t="shared" si="97"/>
        <v>10376.46119912044</v>
      </c>
      <c r="AC111" s="60">
        <f t="shared" si="97"/>
        <v>10327.983735791211</v>
      </c>
      <c r="AD111" s="60">
        <f t="shared" si="97"/>
        <v>10281.743419392847</v>
      </c>
      <c r="AE111" s="60">
        <f t="shared" si="97"/>
        <v>10237.644381734657</v>
      </c>
      <c r="AF111" s="60">
        <f t="shared" si="97"/>
        <v>10195.594680174218</v>
      </c>
      <c r="AG111" s="60">
        <f t="shared" si="97"/>
        <v>10155.506141751455</v>
      </c>
      <c r="AH111" s="60">
        <f t="shared" si="97"/>
        <v>10117.294213375366</v>
      </c>
      <c r="AI111" s="60">
        <f t="shared" si="97"/>
        <v>10080.877817832185</v>
      </c>
      <c r="AJ111" s="60">
        <f t="shared" si="97"/>
        <v>10046.179215392644</v>
      </c>
      <c r="AK111" s="60">
        <f t="shared" si="97"/>
        <v>10013.123870804286</v>
      </c>
      <c r="AL111" s="60">
        <f t="shared" si="97"/>
        <v>9981.640325462864</v>
      </c>
      <c r="AM111" s="60">
        <f t="shared" ref="AM111:AQ111" si="98">AM64-AM76</f>
        <v>9951.6600745647029</v>
      </c>
      <c r="AN111" s="60">
        <f t="shared" si="98"/>
        <v>9923.1174490492667</v>
      </c>
      <c r="AO111" s="60">
        <f t="shared" si="98"/>
        <v>9895.9495021484818</v>
      </c>
      <c r="AP111" s="60">
        <f t="shared" si="98"/>
        <v>9870.0959003662374</v>
      </c>
      <c r="AQ111" s="60">
        <f t="shared" si="98"/>
        <v>9845.4988187181571</v>
      </c>
    </row>
    <row r="112" spans="1:43" x14ac:dyDescent="0.35">
      <c r="B112" s="27" t="s">
        <v>66</v>
      </c>
      <c r="G112" s="60">
        <f xml:space="preserve"> G111-G110</f>
        <v>0</v>
      </c>
      <c r="H112" s="60"/>
      <c r="I112" s="60">
        <f xml:space="preserve"> I111-I110</f>
        <v>0</v>
      </c>
      <c r="J112" s="60">
        <f t="shared" ref="J112:AL112" si="99" xml:space="preserve"> J111-J110</f>
        <v>0</v>
      </c>
      <c r="K112" s="60">
        <f t="shared" si="99"/>
        <v>0</v>
      </c>
      <c r="L112" s="60">
        <f t="shared" si="99"/>
        <v>0</v>
      </c>
      <c r="M112" s="60">
        <f t="shared" si="99"/>
        <v>1512.1457608928376</v>
      </c>
      <c r="N112" s="60">
        <f t="shared" si="99"/>
        <v>1512.5660843399291</v>
      </c>
      <c r="O112" s="60">
        <f t="shared" si="99"/>
        <v>1511.2287649100981</v>
      </c>
      <c r="P112" s="60">
        <f t="shared" si="99"/>
        <v>1508.2521963396757</v>
      </c>
      <c r="Q112" s="60">
        <f t="shared" si="99"/>
        <v>1503.7487750127493</v>
      </c>
      <c r="R112" s="60">
        <f t="shared" si="99"/>
        <v>1542.8398741907713</v>
      </c>
      <c r="S112" s="60">
        <f t="shared" si="99"/>
        <v>1465.7297441713235</v>
      </c>
      <c r="T112" s="60">
        <f t="shared" si="99"/>
        <v>1392.0704765514893</v>
      </c>
      <c r="U112" s="60">
        <f t="shared" si="99"/>
        <v>1321.7168590074525</v>
      </c>
      <c r="V112" s="60">
        <f t="shared" si="99"/>
        <v>1254.5295541029518</v>
      </c>
      <c r="W112" s="60">
        <f t="shared" si="99"/>
        <v>1190.3748680115423</v>
      </c>
      <c r="X112" s="60">
        <f t="shared" si="99"/>
        <v>1129.1245281625579</v>
      </c>
      <c r="Y112" s="60">
        <f t="shared" si="99"/>
        <v>1070.6554694718216</v>
      </c>
      <c r="Z112" s="60">
        <f t="shared" si="99"/>
        <v>1014.8496288306524</v>
      </c>
      <c r="AA112" s="60">
        <f t="shared" si="99"/>
        <v>961.59374753914926</v>
      </c>
      <c r="AB112" s="60">
        <f t="shared" si="99"/>
        <v>910.77918138149471</v>
      </c>
      <c r="AC112" s="60">
        <f t="shared" si="99"/>
        <v>862.30171805226564</v>
      </c>
      <c r="AD112" s="60">
        <f t="shared" si="99"/>
        <v>816.06140165390389</v>
      </c>
      <c r="AE112" s="60">
        <f t="shared" si="99"/>
        <v>771.96236399571353</v>
      </c>
      <c r="AF112" s="60">
        <f t="shared" si="99"/>
        <v>729.91266243527389</v>
      </c>
      <c r="AG112" s="60">
        <f t="shared" si="99"/>
        <v>689.82412401251349</v>
      </c>
      <c r="AH112" s="60">
        <f t="shared" si="99"/>
        <v>651.61219563642226</v>
      </c>
      <c r="AI112" s="60">
        <f t="shared" si="99"/>
        <v>615.1958000932409</v>
      </c>
      <c r="AJ112" s="60">
        <f t="shared" si="99"/>
        <v>580.49719765369991</v>
      </c>
      <c r="AK112" s="60">
        <f t="shared" si="99"/>
        <v>547.44185306534018</v>
      </c>
      <c r="AL112" s="60">
        <f t="shared" si="99"/>
        <v>515.95830772392037</v>
      </c>
      <c r="AM112" s="60">
        <f t="shared" ref="AM112:AQ112" si="100" xml:space="preserve"> AM111-AM110</f>
        <v>485.97805682575745</v>
      </c>
      <c r="AN112" s="60">
        <f t="shared" si="100"/>
        <v>457.43543131032129</v>
      </c>
      <c r="AO112" s="60">
        <f t="shared" si="100"/>
        <v>430.26748440953816</v>
      </c>
      <c r="AP112" s="60">
        <f t="shared" si="100"/>
        <v>404.41388262729197</v>
      </c>
      <c r="AQ112" s="60">
        <f t="shared" si="100"/>
        <v>379.81680097921344</v>
      </c>
    </row>
    <row r="113" spans="1:43" x14ac:dyDescent="0.35">
      <c r="B113" s="27" t="s">
        <v>67</v>
      </c>
      <c r="G113" s="59">
        <f>G112/G110</f>
        <v>0</v>
      </c>
      <c r="H113" s="59"/>
      <c r="I113" s="59">
        <f>I112/I110</f>
        <v>0</v>
      </c>
      <c r="J113" s="59">
        <f t="shared" ref="J113:AL113" si="101">J112/J110</f>
        <v>0</v>
      </c>
      <c r="K113" s="59">
        <f t="shared" si="101"/>
        <v>0</v>
      </c>
      <c r="L113" s="59">
        <f t="shared" si="101"/>
        <v>0</v>
      </c>
      <c r="M113" s="59">
        <f t="shared" si="101"/>
        <v>0.16046260611996593</v>
      </c>
      <c r="N113" s="59">
        <f t="shared" si="101"/>
        <v>0.15979472810362091</v>
      </c>
      <c r="O113" s="59">
        <f t="shared" si="101"/>
        <v>0.15965344727173528</v>
      </c>
      <c r="P113" s="59">
        <f t="shared" si="101"/>
        <v>0.15933898830672419</v>
      </c>
      <c r="Q113" s="59">
        <f t="shared" si="101"/>
        <v>0.15886322530111224</v>
      </c>
      <c r="R113" s="59">
        <f t="shared" si="101"/>
        <v>0.16299299631019154</v>
      </c>
      <c r="S113" s="59">
        <f t="shared" si="101"/>
        <v>0.15484671272756739</v>
      </c>
      <c r="T113" s="59">
        <f t="shared" si="101"/>
        <v>0.14706499478249013</v>
      </c>
      <c r="U113" s="59">
        <f t="shared" si="101"/>
        <v>0.13963250154933565</v>
      </c>
      <c r="V113" s="59">
        <f t="shared" si="101"/>
        <v>0.13253451275374864</v>
      </c>
      <c r="W113" s="59">
        <f t="shared" si="101"/>
        <v>0.12575690433935421</v>
      </c>
      <c r="X113" s="59">
        <f t="shared" si="101"/>
        <v>0.11928612497721219</v>
      </c>
      <c r="Y113" s="59">
        <f t="shared" si="101"/>
        <v>0.11310917348220488</v>
      </c>
      <c r="Z113" s="59">
        <f t="shared" si="101"/>
        <v>0.10721357710187143</v>
      </c>
      <c r="AA113" s="59">
        <f t="shared" si="101"/>
        <v>0.10158737064451315</v>
      </c>
      <c r="AB113" s="59">
        <f t="shared" si="101"/>
        <v>9.6219076414638671E-2</v>
      </c>
      <c r="AC113" s="59">
        <f t="shared" si="101"/>
        <v>9.1097684925004752E-2</v>
      </c>
      <c r="AD113" s="59">
        <f t="shared" si="101"/>
        <v>8.6212636355688141E-2</v>
      </c>
      <c r="AE113" s="59">
        <f t="shared" si="101"/>
        <v>8.1553802731703345E-2</v>
      </c>
      <c r="AF113" s="59">
        <f t="shared" si="101"/>
        <v>7.7111470791792688E-2</v>
      </c>
      <c r="AG113" s="59">
        <f t="shared" si="101"/>
        <v>7.2876325522003016E-2</v>
      </c>
      <c r="AH113" s="59">
        <f t="shared" si="101"/>
        <v>6.8839434328692148E-2</v>
      </c>
      <c r="AI113" s="59">
        <f t="shared" si="101"/>
        <v>6.4992231826544289E-2</v>
      </c>
      <c r="AJ113" s="59">
        <f t="shared" si="101"/>
        <v>6.1326505218095483E-2</v>
      </c>
      <c r="AK113" s="59">
        <f t="shared" si="101"/>
        <v>5.7834380242165251E-2</v>
      </c>
      <c r="AL113" s="59">
        <f t="shared" si="101"/>
        <v>5.4508307669431592E-2</v>
      </c>
      <c r="AM113" s="59">
        <f t="shared" ref="AM113:AQ113" si="102">AM112/AM110</f>
        <v>5.1341050324215556E-2</v>
      </c>
      <c r="AN113" s="59">
        <f t="shared" si="102"/>
        <v>4.8325670612331457E-2</v>
      </c>
      <c r="AO113" s="59">
        <f t="shared" si="102"/>
        <v>4.5455518535611618E-2</v>
      </c>
      <c r="AP113" s="59">
        <f t="shared" si="102"/>
        <v>4.2724220174458573E-2</v>
      </c>
      <c r="AQ113" s="59">
        <f t="shared" si="102"/>
        <v>4.0125666620474523E-2</v>
      </c>
    </row>
    <row r="114" spans="1:43" x14ac:dyDescent="0.35">
      <c r="B114" s="27"/>
      <c r="G114" s="48"/>
      <c r="H114" s="48"/>
      <c r="I114" s="112"/>
    </row>
    <row r="116" spans="1:43" x14ac:dyDescent="0.35">
      <c r="A116" s="42" t="s">
        <v>102</v>
      </c>
      <c r="G116" s="27"/>
      <c r="H116" s="27"/>
      <c r="I116" s="113"/>
      <c r="J116" s="113"/>
      <c r="K116" s="113"/>
      <c r="L116" s="113"/>
      <c r="M116" s="113"/>
      <c r="N116" s="113"/>
      <c r="O116" s="113"/>
    </row>
    <row r="117" spans="1:43" x14ac:dyDescent="0.35">
      <c r="A117" s="42"/>
      <c r="B117" s="27" t="s">
        <v>69</v>
      </c>
      <c r="F117" s="44"/>
      <c r="G117" s="41">
        <f>G29*G48/100</f>
        <v>4134.3534488345795</v>
      </c>
      <c r="H117" s="41"/>
      <c r="I117" s="104"/>
      <c r="J117" s="104"/>
      <c r="K117" s="104"/>
      <c r="L117" s="104"/>
      <c r="M117" s="104"/>
      <c r="N117" s="104"/>
      <c r="O117" s="104"/>
      <c r="P117" s="104"/>
      <c r="Q117" s="104"/>
      <c r="R117" s="104"/>
    </row>
    <row r="118" spans="1:43" x14ac:dyDescent="0.35">
      <c r="B118" s="27" t="s">
        <v>70</v>
      </c>
      <c r="F118" s="40"/>
      <c r="G118" s="41">
        <f>G30*G48/100</f>
        <v>5329.6294258416283</v>
      </c>
      <c r="H118" s="41"/>
      <c r="I118" s="104"/>
      <c r="J118" s="104"/>
      <c r="K118" s="104"/>
      <c r="L118" s="104"/>
      <c r="M118" s="104"/>
      <c r="N118" s="104"/>
      <c r="O118" s="104"/>
      <c r="P118" s="104"/>
      <c r="Q118" s="104"/>
      <c r="R118" s="104"/>
    </row>
    <row r="119" spans="1:43" x14ac:dyDescent="0.35">
      <c r="B119" s="27" t="s">
        <v>66</v>
      </c>
      <c r="F119" s="40"/>
      <c r="G119" s="41">
        <f xml:space="preserve"> (G30-G29)*G48/100</f>
        <v>1195.2759770070481</v>
      </c>
      <c r="H119" s="41"/>
      <c r="I119" s="104"/>
      <c r="J119" s="104"/>
      <c r="K119" s="104"/>
      <c r="L119" s="104"/>
      <c r="M119" s="104"/>
      <c r="N119" s="104"/>
      <c r="O119" s="104"/>
      <c r="P119" s="104"/>
      <c r="Q119" s="104"/>
      <c r="R119" s="104"/>
    </row>
    <row r="120" spans="1:43" x14ac:dyDescent="0.35">
      <c r="B120" s="27" t="s">
        <v>67</v>
      </c>
      <c r="F120" s="40"/>
      <c r="G120" s="19">
        <f>G119/G117</f>
        <v>0.28910831930539971</v>
      </c>
      <c r="H120" s="19"/>
      <c r="I120" s="95"/>
      <c r="J120" s="95"/>
      <c r="K120" s="95"/>
      <c r="L120" s="95"/>
      <c r="M120" s="95"/>
      <c r="N120" s="95"/>
      <c r="O120" s="95"/>
      <c r="P120" s="95"/>
      <c r="Q120" s="95"/>
      <c r="R120" s="95"/>
    </row>
    <row r="122" spans="1:43" x14ac:dyDescent="0.35">
      <c r="A122" s="42" t="s">
        <v>176</v>
      </c>
      <c r="B122" s="27"/>
      <c r="E122" s="4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row>
    <row r="123" spans="1:43" x14ac:dyDescent="0.35">
      <c r="B123" s="27" t="s">
        <v>214</v>
      </c>
    </row>
    <row r="124" spans="1:43" x14ac:dyDescent="0.35">
      <c r="B124" s="27" t="s">
        <v>215</v>
      </c>
    </row>
    <row r="125" spans="1:43" x14ac:dyDescent="0.35">
      <c r="B125" s="27"/>
    </row>
    <row r="126" spans="1:43" x14ac:dyDescent="0.35">
      <c r="B126" s="162"/>
    </row>
  </sheetData>
  <sheetProtection selectLockedCells="1"/>
  <mergeCells count="1">
    <mergeCell ref="J2:K3"/>
  </mergeCells>
  <dataValidations disablePrompts="1" count="1">
    <dataValidation type="list" allowBlank="1" showInputMessage="1" showErrorMessage="1" sqref="G33" xr:uid="{EA18FA61-5872-45F4-9D20-E57FD7D36D07}">
      <formula1>"Equalized,Barnard,Bridgewater,Killington,Plymouth,Pomfret,Reading,Woodstock"</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4422A-FDC2-4650-BD04-12997278000F}">
  <dimension ref="A1:AQ127"/>
  <sheetViews>
    <sheetView topLeftCell="D12" workbookViewId="0">
      <selection activeCell="J26" sqref="J26"/>
    </sheetView>
  </sheetViews>
  <sheetFormatPr defaultRowHeight="14.5" x14ac:dyDescent="0.35"/>
  <cols>
    <col min="3" max="3" width="13.6328125" bestFit="1" customWidth="1"/>
    <col min="4" max="4" width="26.453125" customWidth="1"/>
    <col min="5" max="5" width="19.36328125" customWidth="1"/>
    <col min="6" max="6" width="2.26953125" customWidth="1"/>
    <col min="7" max="7" width="14.7265625" customWidth="1"/>
    <col min="8" max="8" width="2.453125" customWidth="1"/>
    <col min="9" max="9" width="14.7265625" style="102" customWidth="1"/>
    <col min="10" max="10" width="14.453125" style="102" customWidth="1"/>
    <col min="11" max="11" width="14.54296875" style="102" customWidth="1"/>
    <col min="12" max="12" width="14.7265625" style="102" customWidth="1"/>
    <col min="13" max="13" width="15.08984375" style="102" customWidth="1"/>
    <col min="14" max="14" width="15" style="102" customWidth="1"/>
    <col min="15" max="15" width="14.6328125" style="102" bestFit="1" customWidth="1"/>
    <col min="16" max="16" width="14.36328125" style="102" customWidth="1"/>
    <col min="17" max="17" width="14.54296875" style="102" customWidth="1"/>
    <col min="18" max="18" width="14.453125" style="102" customWidth="1"/>
    <col min="19" max="21" width="14.6328125" style="102" bestFit="1" customWidth="1"/>
    <col min="22" max="22" width="14.90625" style="102" customWidth="1"/>
    <col min="23" max="28" width="14.6328125" style="102" bestFit="1" customWidth="1"/>
    <col min="29" max="29" width="14.7265625" style="102" customWidth="1"/>
    <col min="30" max="36" width="14.6328125" style="102" bestFit="1" customWidth="1"/>
    <col min="37" max="37" width="15.453125" style="102" customWidth="1"/>
    <col min="38" max="38" width="15.36328125" customWidth="1"/>
    <col min="39" max="42" width="15.6328125" bestFit="1" customWidth="1"/>
    <col min="43" max="43" width="15.81640625" customWidth="1"/>
  </cols>
  <sheetData>
    <row r="1" spans="1:43" ht="15" thickBot="1" x14ac:dyDescent="0.4"/>
    <row r="2" spans="1:43" x14ac:dyDescent="0.35">
      <c r="A2" s="27"/>
      <c r="B2" t="s">
        <v>98</v>
      </c>
      <c r="E2" s="154">
        <f>'Property Tax Calc'!E2</f>
        <v>99000000</v>
      </c>
      <c r="F2" s="47"/>
      <c r="J2" s="374" t="s">
        <v>211</v>
      </c>
      <c r="K2" s="375"/>
      <c r="P2" s="103"/>
      <c r="Q2" s="103"/>
      <c r="R2" s="103"/>
    </row>
    <row r="3" spans="1:43" ht="15" thickBot="1" x14ac:dyDescent="0.4">
      <c r="A3" s="27"/>
      <c r="B3" t="s">
        <v>225</v>
      </c>
      <c r="E3" s="154">
        <f>'Property Tax Calc'!E3</f>
        <v>3500000</v>
      </c>
      <c r="F3" s="47"/>
      <c r="J3" s="376"/>
      <c r="K3" s="377"/>
      <c r="P3" s="103"/>
      <c r="Q3" s="103"/>
      <c r="R3" s="103"/>
    </row>
    <row r="4" spans="1:43" x14ac:dyDescent="0.35">
      <c r="A4" s="27"/>
      <c r="B4" t="s">
        <v>241</v>
      </c>
      <c r="E4" s="154" t="e">
        <f>'Property Tax Calc'!#REF!</f>
        <v>#REF!</v>
      </c>
      <c r="F4" s="47"/>
      <c r="J4" s="209"/>
      <c r="K4" s="209"/>
      <c r="P4" s="103"/>
      <c r="Q4" s="103"/>
      <c r="R4" s="103"/>
    </row>
    <row r="5" spans="1:43" x14ac:dyDescent="0.35">
      <c r="A5" s="27"/>
      <c r="B5" t="s">
        <v>240</v>
      </c>
      <c r="E5" s="154">
        <f>'Property Tax Calc'!E4</f>
        <v>1300000</v>
      </c>
      <c r="F5" s="47"/>
      <c r="J5" s="209"/>
      <c r="K5" s="209"/>
      <c r="P5" s="103"/>
      <c r="Q5" s="103"/>
      <c r="R5" s="103"/>
    </row>
    <row r="6" spans="1:43" x14ac:dyDescent="0.35">
      <c r="A6" s="27"/>
      <c r="B6" t="s">
        <v>242</v>
      </c>
      <c r="E6" s="154">
        <f>'Property Tax Calc'!E5</f>
        <v>4800000</v>
      </c>
      <c r="F6" s="47"/>
      <c r="J6" s="209"/>
      <c r="K6" s="209"/>
      <c r="P6" s="103"/>
      <c r="Q6" s="103"/>
      <c r="R6" s="103"/>
    </row>
    <row r="7" spans="1:43" x14ac:dyDescent="0.35">
      <c r="A7" s="27"/>
      <c r="B7" t="s">
        <v>223</v>
      </c>
      <c r="E7" s="154">
        <f>'Property Tax Calc'!E6</f>
        <v>0</v>
      </c>
      <c r="F7" s="47"/>
      <c r="J7" s="209"/>
      <c r="K7" s="209"/>
      <c r="P7" s="103"/>
      <c r="Q7" s="103"/>
      <c r="R7" s="103"/>
    </row>
    <row r="8" spans="1:43" x14ac:dyDescent="0.35">
      <c r="A8" s="27"/>
      <c r="B8" t="s">
        <v>224</v>
      </c>
      <c r="E8" s="154">
        <f>'Property Tax Calc'!E7</f>
        <v>0</v>
      </c>
      <c r="F8" s="47"/>
      <c r="G8" s="27"/>
      <c r="J8" s="209"/>
      <c r="K8" s="209"/>
      <c r="P8" s="103"/>
      <c r="Q8" s="103"/>
      <c r="R8" s="103"/>
    </row>
    <row r="9" spans="1:43" x14ac:dyDescent="0.35">
      <c r="B9" t="s">
        <v>120</v>
      </c>
      <c r="E9" s="60">
        <f>E2 - (E2*E8)</f>
        <v>99000000</v>
      </c>
      <c r="G9" s="123">
        <f>E9</f>
        <v>99000000</v>
      </c>
      <c r="H9" s="44"/>
      <c r="I9" s="124">
        <f>E9</f>
        <v>99000000</v>
      </c>
      <c r="J9" s="124">
        <f>E9</f>
        <v>99000000</v>
      </c>
      <c r="K9" s="124">
        <f>E9</f>
        <v>99000000</v>
      </c>
      <c r="L9" s="124">
        <f>E9</f>
        <v>99000000</v>
      </c>
      <c r="M9" s="194"/>
      <c r="N9" s="124">
        <f>E9</f>
        <v>99000000</v>
      </c>
      <c r="O9" s="124">
        <f>E9</f>
        <v>99000000</v>
      </c>
      <c r="P9" s="123">
        <f>E9</f>
        <v>99000000</v>
      </c>
      <c r="Q9" s="123">
        <f>E9</f>
        <v>99000000</v>
      </c>
      <c r="R9" s="123">
        <f>E9</f>
        <v>99000000</v>
      </c>
      <c r="S9" s="123">
        <f>E9</f>
        <v>99000000</v>
      </c>
      <c r="T9" s="123">
        <f>E9</f>
        <v>99000000</v>
      </c>
      <c r="U9" s="123">
        <f>E9</f>
        <v>99000000</v>
      </c>
      <c r="V9" s="123">
        <f>E9</f>
        <v>99000000</v>
      </c>
      <c r="W9" s="123">
        <f>E9</f>
        <v>99000000</v>
      </c>
      <c r="X9" s="123">
        <f>E9</f>
        <v>99000000</v>
      </c>
      <c r="Y9" s="123">
        <f>E9</f>
        <v>99000000</v>
      </c>
      <c r="Z9" s="123">
        <f>E9</f>
        <v>99000000</v>
      </c>
      <c r="AA9" s="123">
        <f>E9</f>
        <v>99000000</v>
      </c>
      <c r="AB9" s="123">
        <f>E9</f>
        <v>99000000</v>
      </c>
      <c r="AC9" s="123">
        <f>E9</f>
        <v>99000000</v>
      </c>
      <c r="AD9" s="123">
        <f>E9</f>
        <v>99000000</v>
      </c>
      <c r="AE9" s="123">
        <f>E9</f>
        <v>99000000</v>
      </c>
      <c r="AF9" s="123">
        <f>E9</f>
        <v>99000000</v>
      </c>
      <c r="AG9" s="123">
        <f>E9</f>
        <v>99000000</v>
      </c>
      <c r="AH9" s="123">
        <f>E9</f>
        <v>99000000</v>
      </c>
      <c r="AI9" s="123">
        <f>E9</f>
        <v>99000000</v>
      </c>
      <c r="AJ9" s="123">
        <f>E9</f>
        <v>99000000</v>
      </c>
      <c r="AK9" s="123">
        <f>E9</f>
        <v>99000000</v>
      </c>
      <c r="AL9" s="123">
        <f t="shared" ref="AL9:AQ12" si="0">E9</f>
        <v>99000000</v>
      </c>
      <c r="AM9" s="123">
        <f t="shared" si="0"/>
        <v>0</v>
      </c>
      <c r="AN9" s="123">
        <f t="shared" si="0"/>
        <v>99000000</v>
      </c>
      <c r="AO9" s="123">
        <f t="shared" si="0"/>
        <v>0</v>
      </c>
      <c r="AP9" s="123">
        <f t="shared" si="0"/>
        <v>99000000</v>
      </c>
      <c r="AQ9" s="123">
        <f t="shared" si="0"/>
        <v>99000000</v>
      </c>
    </row>
    <row r="10" spans="1:43" s="27" customFormat="1" hidden="1" x14ac:dyDescent="0.35">
      <c r="B10" s="200" t="s">
        <v>227</v>
      </c>
      <c r="C10" s="200"/>
      <c r="D10" s="200"/>
      <c r="E10" s="185">
        <f>(E2-11000000)/160000</f>
        <v>550</v>
      </c>
      <c r="F10" s="114"/>
      <c r="G10" s="115"/>
      <c r="H10" s="115"/>
      <c r="I10" s="183"/>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row>
    <row r="11" spans="1:43" x14ac:dyDescent="0.35">
      <c r="B11" t="s">
        <v>72</v>
      </c>
      <c r="E11" s="153">
        <f>'Property Tax Calc'!E10</f>
        <v>3.5999999999999997E-2</v>
      </c>
      <c r="F11" s="19"/>
      <c r="G11" s="49">
        <f>E11</f>
        <v>3.5999999999999997E-2</v>
      </c>
      <c r="H11" s="49"/>
      <c r="I11" s="49">
        <f>E11</f>
        <v>3.5999999999999997E-2</v>
      </c>
      <c r="J11" s="49">
        <f>E11</f>
        <v>3.5999999999999997E-2</v>
      </c>
      <c r="K11" s="49">
        <f>E11</f>
        <v>3.5999999999999997E-2</v>
      </c>
      <c r="L11" s="49">
        <f>E11</f>
        <v>3.5999999999999997E-2</v>
      </c>
      <c r="M11" s="49">
        <f>E11</f>
        <v>3.5999999999999997E-2</v>
      </c>
      <c r="N11" s="49">
        <f>E11</f>
        <v>3.5999999999999997E-2</v>
      </c>
      <c r="O11" s="49">
        <f>E11</f>
        <v>3.5999999999999997E-2</v>
      </c>
      <c r="P11" s="197">
        <f>E11</f>
        <v>3.5999999999999997E-2</v>
      </c>
      <c r="Q11" s="197">
        <f>E11</f>
        <v>3.5999999999999997E-2</v>
      </c>
      <c r="R11" s="197">
        <f>E11</f>
        <v>3.5999999999999997E-2</v>
      </c>
      <c r="S11" s="197">
        <f>E11</f>
        <v>3.5999999999999997E-2</v>
      </c>
      <c r="T11" s="197">
        <f>E11</f>
        <v>3.5999999999999997E-2</v>
      </c>
      <c r="U11" s="197">
        <f>E11</f>
        <v>3.5999999999999997E-2</v>
      </c>
      <c r="V11" s="197">
        <f>E11</f>
        <v>3.5999999999999997E-2</v>
      </c>
      <c r="W11" s="197">
        <f>E11</f>
        <v>3.5999999999999997E-2</v>
      </c>
      <c r="X11" s="197">
        <f>E11</f>
        <v>3.5999999999999997E-2</v>
      </c>
      <c r="Y11" s="197">
        <f>E11</f>
        <v>3.5999999999999997E-2</v>
      </c>
      <c r="Z11" s="197">
        <f>E11</f>
        <v>3.5999999999999997E-2</v>
      </c>
      <c r="AA11" s="197">
        <f>E11</f>
        <v>3.5999999999999997E-2</v>
      </c>
      <c r="AB11" s="197">
        <f>E11</f>
        <v>3.5999999999999997E-2</v>
      </c>
      <c r="AC11" s="197">
        <f>E11</f>
        <v>3.5999999999999997E-2</v>
      </c>
      <c r="AD11" s="197">
        <f>E11</f>
        <v>3.5999999999999997E-2</v>
      </c>
      <c r="AE11" s="197">
        <f>E11</f>
        <v>3.5999999999999997E-2</v>
      </c>
      <c r="AF11" s="197">
        <f>E11</f>
        <v>3.5999999999999997E-2</v>
      </c>
      <c r="AG11" s="197">
        <f>E11</f>
        <v>3.5999999999999997E-2</v>
      </c>
      <c r="AH11" s="197">
        <f>E11</f>
        <v>3.5999999999999997E-2</v>
      </c>
      <c r="AI11" s="197">
        <f>E11</f>
        <v>3.5999999999999997E-2</v>
      </c>
      <c r="AJ11" s="197">
        <f>E11</f>
        <v>3.5999999999999997E-2</v>
      </c>
      <c r="AK11" s="197">
        <f>E11</f>
        <v>3.5999999999999997E-2</v>
      </c>
      <c r="AL11" s="197">
        <f t="shared" si="0"/>
        <v>3.5999999999999997E-2</v>
      </c>
      <c r="AM11" s="197">
        <f t="shared" si="0"/>
        <v>0</v>
      </c>
      <c r="AN11" s="197">
        <f t="shared" si="0"/>
        <v>3.5999999999999997E-2</v>
      </c>
      <c r="AO11" s="197">
        <f t="shared" si="0"/>
        <v>0</v>
      </c>
      <c r="AP11" s="197">
        <f t="shared" si="0"/>
        <v>3.5999999999999997E-2</v>
      </c>
      <c r="AQ11" s="197">
        <f t="shared" si="0"/>
        <v>3.5999999999999997E-2</v>
      </c>
    </row>
    <row r="12" spans="1:43" x14ac:dyDescent="0.35">
      <c r="B12" t="s">
        <v>119</v>
      </c>
      <c r="E12" s="152">
        <f>'Property Tax Calc'!E11</f>
        <v>37</v>
      </c>
      <c r="F12" s="197"/>
      <c r="G12" s="196">
        <f>E12</f>
        <v>37</v>
      </c>
      <c r="H12" s="196"/>
      <c r="I12" s="125">
        <f>E12</f>
        <v>37</v>
      </c>
      <c r="J12" s="100">
        <f>E12</f>
        <v>37</v>
      </c>
      <c r="K12" s="100">
        <f>E12</f>
        <v>37</v>
      </c>
      <c r="L12" s="100">
        <f>E12</f>
        <v>37</v>
      </c>
      <c r="M12" s="100">
        <f>E12</f>
        <v>37</v>
      </c>
      <c r="N12" s="69">
        <f>E12</f>
        <v>37</v>
      </c>
      <c r="O12" s="69">
        <f>E12</f>
        <v>37</v>
      </c>
      <c r="P12" s="125">
        <f>E12</f>
        <v>37</v>
      </c>
      <c r="Q12" s="125">
        <f>E12</f>
        <v>37</v>
      </c>
      <c r="R12" s="125">
        <f>E12</f>
        <v>37</v>
      </c>
      <c r="S12" s="126">
        <f>E12</f>
        <v>37</v>
      </c>
      <c r="T12" s="126">
        <f>E12</f>
        <v>37</v>
      </c>
      <c r="U12" s="126">
        <f>E12</f>
        <v>37</v>
      </c>
      <c r="V12" s="126">
        <f>E12</f>
        <v>37</v>
      </c>
      <c r="W12" s="126">
        <f>E12</f>
        <v>37</v>
      </c>
      <c r="X12" s="126">
        <f>E12</f>
        <v>37</v>
      </c>
      <c r="Y12" s="126">
        <f>E12</f>
        <v>37</v>
      </c>
      <c r="Z12" s="126">
        <f>E12</f>
        <v>37</v>
      </c>
      <c r="AA12" s="126">
        <f>E12</f>
        <v>37</v>
      </c>
      <c r="AB12" s="126">
        <f>E12</f>
        <v>37</v>
      </c>
      <c r="AC12" s="126">
        <f>E12</f>
        <v>37</v>
      </c>
      <c r="AD12" s="126">
        <f>E12</f>
        <v>37</v>
      </c>
      <c r="AE12" s="126">
        <f>E12</f>
        <v>37</v>
      </c>
      <c r="AF12" s="126">
        <f>E12</f>
        <v>37</v>
      </c>
      <c r="AG12" s="126">
        <f>E12</f>
        <v>37</v>
      </c>
      <c r="AH12" s="126">
        <f>E12</f>
        <v>37</v>
      </c>
      <c r="AI12" s="126">
        <f>E12</f>
        <v>37</v>
      </c>
      <c r="AJ12" s="126">
        <f>E12</f>
        <v>37</v>
      </c>
      <c r="AK12" s="126">
        <f>E12</f>
        <v>37</v>
      </c>
      <c r="AL12" s="126">
        <f t="shared" si="0"/>
        <v>37</v>
      </c>
      <c r="AM12" s="126">
        <f t="shared" si="0"/>
        <v>0</v>
      </c>
      <c r="AN12" s="126">
        <f t="shared" si="0"/>
        <v>37</v>
      </c>
      <c r="AO12" s="126">
        <f t="shared" si="0"/>
        <v>0</v>
      </c>
      <c r="AP12" s="126">
        <f t="shared" si="0"/>
        <v>37</v>
      </c>
      <c r="AQ12" s="126">
        <f t="shared" si="0"/>
        <v>37</v>
      </c>
    </row>
    <row r="13" spans="1:43" s="27" customFormat="1" x14ac:dyDescent="0.35">
      <c r="B13" s="200" t="s">
        <v>141</v>
      </c>
      <c r="C13" s="200"/>
      <c r="D13" s="200"/>
      <c r="E13" s="152">
        <f>'Property Tax Calc'!E12</f>
        <v>0</v>
      </c>
      <c r="F13" s="114"/>
      <c r="G13" s="115">
        <f>E13</f>
        <v>0</v>
      </c>
      <c r="H13" s="115"/>
      <c r="I13" s="117">
        <v>2024</v>
      </c>
      <c r="J13" s="118">
        <v>2025</v>
      </c>
      <c r="K13" s="118">
        <v>2026</v>
      </c>
      <c r="L13" s="118">
        <v>2027</v>
      </c>
      <c r="M13" s="118">
        <v>2028</v>
      </c>
      <c r="N13" s="118">
        <v>2029</v>
      </c>
      <c r="O13" s="118">
        <v>2030</v>
      </c>
      <c r="P13" s="118">
        <v>2031</v>
      </c>
      <c r="Q13" s="118">
        <v>2032</v>
      </c>
      <c r="R13" s="118">
        <v>2033</v>
      </c>
      <c r="S13" s="118">
        <v>2034</v>
      </c>
      <c r="T13" s="118">
        <v>2035</v>
      </c>
      <c r="U13" s="118">
        <v>2036</v>
      </c>
      <c r="V13" s="118">
        <v>2037</v>
      </c>
      <c r="W13" s="118">
        <v>2038</v>
      </c>
      <c r="X13" s="118">
        <v>2039</v>
      </c>
      <c r="Y13" s="118">
        <v>2040</v>
      </c>
      <c r="Z13" s="118">
        <v>2041</v>
      </c>
      <c r="AA13" s="118">
        <v>2042</v>
      </c>
      <c r="AB13" s="118">
        <v>2043</v>
      </c>
      <c r="AC13" s="118">
        <v>2044</v>
      </c>
      <c r="AD13" s="118">
        <v>2045</v>
      </c>
      <c r="AE13" s="118">
        <v>2046</v>
      </c>
      <c r="AF13" s="118">
        <v>2047</v>
      </c>
      <c r="AG13" s="118">
        <v>2048</v>
      </c>
      <c r="AH13" s="118">
        <v>2049</v>
      </c>
      <c r="AI13" s="118">
        <v>2050</v>
      </c>
      <c r="AJ13" s="118">
        <v>2051</v>
      </c>
      <c r="AK13" s="118">
        <v>2052</v>
      </c>
      <c r="AL13" s="118">
        <v>2053</v>
      </c>
      <c r="AM13" s="118">
        <v>2054</v>
      </c>
      <c r="AN13" s="118">
        <v>2055</v>
      </c>
      <c r="AO13" s="118">
        <v>2056</v>
      </c>
      <c r="AP13" s="118">
        <v>2057</v>
      </c>
      <c r="AQ13" s="118">
        <v>2058</v>
      </c>
    </row>
    <row r="14" spans="1:43" s="200" customFormat="1" x14ac:dyDescent="0.35">
      <c r="B14" t="s">
        <v>142</v>
      </c>
      <c r="E14" s="202"/>
      <c r="F14" s="197"/>
      <c r="G14" s="196"/>
      <c r="H14" s="196"/>
      <c r="I14" s="207">
        <v>0</v>
      </c>
      <c r="J14" s="207">
        <v>0</v>
      </c>
      <c r="K14" s="207">
        <v>0</v>
      </c>
      <c r="L14" s="207">
        <v>0</v>
      </c>
      <c r="M14" s="201">
        <f>Amortization!E8</f>
        <v>6239675.6756756753</v>
      </c>
      <c r="N14" s="201">
        <f>Amortization!E10</f>
        <v>6143351.3513513505</v>
      </c>
      <c r="O14" s="201">
        <f>Amortization!E12</f>
        <v>6047027.0270270268</v>
      </c>
      <c r="P14" s="201">
        <f>Amortization!E14</f>
        <v>5950702.702702703</v>
      </c>
      <c r="Q14" s="201">
        <f>Amortization!E16</f>
        <v>5854378.3783783782</v>
      </c>
      <c r="R14" s="201">
        <f>Amortization!E18</f>
        <v>5758054.0540540535</v>
      </c>
      <c r="S14" s="201">
        <f>Amortization!E20</f>
        <v>5661729.7297297297</v>
      </c>
      <c r="T14" s="201">
        <f>Amortization!E22</f>
        <v>5565405.4054054059</v>
      </c>
      <c r="U14" s="201">
        <f>Amortization!E24</f>
        <v>5469081.0810810812</v>
      </c>
      <c r="V14" s="201">
        <f>Amortization!E26</f>
        <v>5372756.7567567565</v>
      </c>
      <c r="W14" s="201">
        <f>Amortization!E28</f>
        <v>5276432.4324324327</v>
      </c>
      <c r="X14" s="201">
        <f>Amortization!E30</f>
        <v>5180108.1081081079</v>
      </c>
      <c r="Y14" s="201">
        <f>Amortization!E32</f>
        <v>5083783.7837837841</v>
      </c>
      <c r="Z14" s="201">
        <f>Amortization!E34</f>
        <v>4987459.4594594594</v>
      </c>
      <c r="AA14" s="201">
        <f>Amortization!E36</f>
        <v>4891135.1351351347</v>
      </c>
      <c r="AB14" s="201">
        <f>Amortization!E38</f>
        <v>4794810.8108108109</v>
      </c>
      <c r="AC14" s="201">
        <f>Amortization!E40</f>
        <v>4698486.4864864871</v>
      </c>
      <c r="AD14" s="201">
        <f>Amortization!E42</f>
        <v>4602162.1621621624</v>
      </c>
      <c r="AE14" s="201">
        <f>Amortization!E44</f>
        <v>4505837.8378378376</v>
      </c>
      <c r="AF14" s="201">
        <f>Amortization!E46</f>
        <v>4409513.5135135138</v>
      </c>
      <c r="AG14" s="201">
        <f>Amortization!E48</f>
        <v>4313189.1891891891</v>
      </c>
      <c r="AH14" s="201">
        <f>Amortization!E50</f>
        <v>4216864.8648648653</v>
      </c>
      <c r="AI14" s="201">
        <f>Amortization!E52</f>
        <v>4120540.5405405406</v>
      </c>
      <c r="AJ14" s="201">
        <f>Amortization!E54</f>
        <v>4024216.2162162168</v>
      </c>
      <c r="AK14" s="201">
        <f>Amortization!E56</f>
        <v>3927891.8918918921</v>
      </c>
      <c r="AL14" s="201">
        <f>Amortization!E58</f>
        <v>3831567.5675675678</v>
      </c>
      <c r="AM14" s="201">
        <f>Amortization!E60</f>
        <v>3735243.2432432435</v>
      </c>
      <c r="AN14" s="201">
        <f>Amortization!E62</f>
        <v>3638918.9189189193</v>
      </c>
      <c r="AO14" s="201">
        <f>Amortization!E64</f>
        <v>3542594.594594595</v>
      </c>
      <c r="AP14" s="201">
        <f>Amortization!E66</f>
        <v>3446270.2702702708</v>
      </c>
      <c r="AQ14" s="201">
        <f>Amortization!E68</f>
        <v>3349945.9459459465</v>
      </c>
    </row>
    <row r="15" spans="1:43" s="200" customFormat="1" x14ac:dyDescent="0.35">
      <c r="B15" s="200" t="s">
        <v>234</v>
      </c>
      <c r="E15" s="202"/>
      <c r="F15" s="197"/>
      <c r="G15" s="196"/>
      <c r="H15" s="196"/>
      <c r="I15" s="207">
        <v>0</v>
      </c>
      <c r="J15" s="207">
        <v>0</v>
      </c>
      <c r="K15" s="207">
        <v>0</v>
      </c>
      <c r="L15" s="207">
        <v>0</v>
      </c>
      <c r="M15" s="203">
        <f>Amortization!F8</f>
        <v>1488000</v>
      </c>
      <c r="N15" s="203">
        <f>Amortization!F10</f>
        <v>1224000</v>
      </c>
      <c r="O15" s="203">
        <f>Amortization!F12</f>
        <v>960000</v>
      </c>
      <c r="P15" s="203">
        <f>Amortization!F14</f>
        <v>696000</v>
      </c>
      <c r="Q15" s="203">
        <f>Amortization!F16</f>
        <v>432000</v>
      </c>
      <c r="R15" s="203">
        <f>Amortization!F18</f>
        <v>0</v>
      </c>
      <c r="S15" s="204">
        <f>Amortization!F20</f>
        <v>0</v>
      </c>
      <c r="T15" s="204">
        <f>Amortization!F22</f>
        <v>0</v>
      </c>
      <c r="U15" s="204">
        <f>Amortization!F24</f>
        <v>0</v>
      </c>
      <c r="V15" s="204">
        <f>Amortization!F26</f>
        <v>0</v>
      </c>
      <c r="W15" s="204">
        <f>Amortization!F28</f>
        <v>0</v>
      </c>
      <c r="X15" s="204">
        <f>Amortization!F30</f>
        <v>0</v>
      </c>
      <c r="Y15" s="204">
        <f>Amortization!F32</f>
        <v>0</v>
      </c>
      <c r="Z15" s="204">
        <f>Amortization!F34</f>
        <v>0</v>
      </c>
      <c r="AA15" s="204">
        <f>Amortization!F36</f>
        <v>0</v>
      </c>
      <c r="AB15" s="204">
        <f>Amortization!F38</f>
        <v>0</v>
      </c>
      <c r="AC15" s="204">
        <f>Amortization!F40</f>
        <v>0</v>
      </c>
      <c r="AD15" s="204">
        <f>Amortization!F42</f>
        <v>0</v>
      </c>
      <c r="AE15" s="204">
        <f>Amortization!F44</f>
        <v>0</v>
      </c>
      <c r="AF15" s="204">
        <f>Amortization!F46</f>
        <v>0</v>
      </c>
      <c r="AG15" s="204">
        <f>Amortization!F48</f>
        <v>0</v>
      </c>
      <c r="AH15" s="204">
        <f>Amortization!F50</f>
        <v>0</v>
      </c>
      <c r="AI15" s="204">
        <f>Amortization!F52</f>
        <v>0</v>
      </c>
      <c r="AJ15" s="204">
        <f>Amortization!F54</f>
        <v>0</v>
      </c>
      <c r="AK15" s="204">
        <f>Amortization!F56</f>
        <v>0</v>
      </c>
      <c r="AL15" s="204">
        <f>Amortization!F58</f>
        <v>0</v>
      </c>
      <c r="AM15" s="204">
        <f>Amortization!F60</f>
        <v>0</v>
      </c>
      <c r="AN15" s="204">
        <f>Amortization!F62</f>
        <v>0</v>
      </c>
      <c r="AO15" s="204">
        <f>Amortization!F64</f>
        <v>0</v>
      </c>
      <c r="AP15" s="204">
        <f>Amortization!F666</f>
        <v>0</v>
      </c>
      <c r="AQ15" s="204">
        <f>Amortization!F68</f>
        <v>0</v>
      </c>
    </row>
    <row r="16" spans="1:43" x14ac:dyDescent="0.35">
      <c r="B16" t="s">
        <v>233</v>
      </c>
      <c r="E16" s="98">
        <f>IF(E13=1,Amortization!E8,IF(E13=2,Amortization!E10,IF(E13=3,Amortization!E12,IF(E13=4,Amortization!E14,IF(E13=5,Amortization!E16,IF(E13=6,Amortization!E18,IF(E13=7,Amortization!E20,IF(E13=8,Amortization!E22,IF(E13=9,Amortization!E24,IF(E13=10,Amortization!E26,IF(E13=11,Amortization!E28,IF(E13=12,Amortization!E30,IF(E13=13,Amortization!E32,IF(E13=14,Amortization!E34,IF(E13=15,Amortization!E36,IF(E13=16,Amortization!E38,IF(E13=17,Amortization!E40,IF(E13=18,Amortization!E42,IF(E13=19,Amortization!E44,IF(E13=20,Amortization!E46,IF(E13=21,Amortization!E48,IF(E13=22,Amortization!E50,IF(E13=23,Amortization!E52,IF(E13=24,Amortization!E54,IF(E13=25,Amortization!E56,IF(E13=26,Amortization!E58,IF(E13=27,Amortization!E60,IF(E13=28,Amortization!E62,IF(E13=29,Amortization!E64,IF(E13=30,Amortization!E66,0))))))))))))))))))))))))))))))</f>
        <v>0</v>
      </c>
      <c r="F16" s="97"/>
      <c r="G16" s="196">
        <f t="shared" ref="G16:G27" si="1">E16</f>
        <v>0</v>
      </c>
      <c r="H16" s="196"/>
      <c r="I16" s="104">
        <v>0</v>
      </c>
      <c r="J16" s="104">
        <v>0</v>
      </c>
      <c r="K16" s="104">
        <v>0</v>
      </c>
      <c r="L16" s="104">
        <v>0</v>
      </c>
      <c r="M16" s="201">
        <f>Amortization!G8</f>
        <v>4751675.6756756753</v>
      </c>
      <c r="N16" s="201">
        <f>Amortization!G10</f>
        <v>4919351.3513513505</v>
      </c>
      <c r="O16" s="201">
        <f>Amortization!G12</f>
        <v>5087027.0270270268</v>
      </c>
      <c r="P16" s="201">
        <f>Amortization!G14</f>
        <v>5254702.702702703</v>
      </c>
      <c r="Q16" s="201">
        <f>Amortization!G16</f>
        <v>5422378.3783783782</v>
      </c>
      <c r="R16" s="201">
        <f>Amortization!G18</f>
        <v>5758054.0540540535</v>
      </c>
      <c r="S16" s="201">
        <f>Amortization!G20</f>
        <v>5661729.7297297297</v>
      </c>
      <c r="T16" s="201">
        <f>Amortization!G22</f>
        <v>5565405.4054054059</v>
      </c>
      <c r="U16" s="201">
        <f>Amortization!G24</f>
        <v>5469081.0810810812</v>
      </c>
      <c r="V16" s="201">
        <f>Amortization!G26</f>
        <v>5372756.7567567565</v>
      </c>
      <c r="W16" s="201">
        <f>Amortization!G28</f>
        <v>5276432.4324324327</v>
      </c>
      <c r="X16" s="201">
        <f>Amortization!G30</f>
        <v>5180108.1081081079</v>
      </c>
      <c r="Y16" s="201">
        <f>Amortization!G32</f>
        <v>5083783.7837837841</v>
      </c>
      <c r="Z16" s="201">
        <f>Amortization!G34</f>
        <v>4987459.4594594594</v>
      </c>
      <c r="AA16" s="201">
        <f>Amortization!G36</f>
        <v>4891135.1351351347</v>
      </c>
      <c r="AB16" s="201">
        <f>Amortization!G38</f>
        <v>4794810.8108108109</v>
      </c>
      <c r="AC16" s="201">
        <f>Amortization!G40</f>
        <v>4698486.4864864871</v>
      </c>
      <c r="AD16" s="201">
        <f>Amortization!G42</f>
        <v>4602162.1621621624</v>
      </c>
      <c r="AE16" s="201">
        <f>Amortization!G44</f>
        <v>4505837.8378378376</v>
      </c>
      <c r="AF16" s="201">
        <f>Amortization!G46</f>
        <v>4409513.5135135138</v>
      </c>
      <c r="AG16" s="201">
        <f>Amortization!G48</f>
        <v>4313189.1891891891</v>
      </c>
      <c r="AH16" s="201">
        <f>Amortization!G50</f>
        <v>4216864.8648648653</v>
      </c>
      <c r="AI16" s="201">
        <f>Amortization!G52</f>
        <v>4120540.5405405406</v>
      </c>
      <c r="AJ16" s="201">
        <f>Amortization!G54</f>
        <v>4024216.2162162168</v>
      </c>
      <c r="AK16" s="201">
        <f>Amortization!G56</f>
        <v>3927891.8918918921</v>
      </c>
      <c r="AL16" s="201">
        <f>Amortization!G58</f>
        <v>3831567.5675675678</v>
      </c>
      <c r="AM16" s="201">
        <f>Amortization!G60</f>
        <v>3735243.2432432435</v>
      </c>
      <c r="AN16" s="201">
        <f>Amortization!G62</f>
        <v>3638918.9189189193</v>
      </c>
      <c r="AO16" s="201">
        <f>Amortization!G64</f>
        <v>3542594.594594595</v>
      </c>
      <c r="AP16" s="201">
        <f>Amortization!G66</f>
        <v>3446270.2702702708</v>
      </c>
      <c r="AQ16" s="201">
        <f>Amortization!G68</f>
        <v>3349945.9459459465</v>
      </c>
    </row>
    <row r="17" spans="2:43" x14ac:dyDescent="0.35">
      <c r="B17" t="s">
        <v>205</v>
      </c>
      <c r="E17" s="199">
        <f>IF(E13=0,EdSpend!E10,IF(E13=1,EdSpend!E12,IF(E13=2,EdSpend!E14,IF(E13=3,EdSpend!E16,IF(E13=4,EdSpend!E18,IF(E13=5,EdSpend!E20,IF(E13=6,EdSpend!E22,IF(E13=7,EdSpend!E24,IF(E13=8,EdSpend!E26,IF(E13=9,EdSpend!E28,IF(E13=10,EdSpend!E30,IF(E13=11,EdSpend!E32,IF(E13=12,EdSpend!E34,IF(E13=13,EdSpend!E36,IF(E13=14,EdSpend!E38,IF(E13=15,EdSpend!E40,IF(E13=16,EdSpend!E42,IF(E13=17,EdSpend!E44,IF(E13=18,EdSpend!E46,IF(E13=19,EdSpend!E48,IF(E13=20,EdSpend!E50,IF(E13=21,EdSpend!E52,IF(E13=22,EdSpend!E54,IF(E13=23,EdSpend!E56,IF(E13=24,EdSpend!E58,IF(E13=25,EdSpend!E60,IF(E13=26,EdSpend!E62,IF(E13=27,EdSpend!E64,IF(E13=28,EdSpend!E66,IF(E13=29,EdSpend!E68,IF(E13=30,EdSpend!E70,0)))))))))))))))))))))))))))))))</f>
        <v>21582484</v>
      </c>
      <c r="F17" s="97"/>
      <c r="G17" s="96">
        <f t="shared" si="1"/>
        <v>21582484</v>
      </c>
      <c r="H17" s="50"/>
      <c r="I17" s="201">
        <f>EdSpend!E10</f>
        <v>21582484</v>
      </c>
      <c r="J17" s="105">
        <f>EdSpend!E12</f>
        <v>25241553</v>
      </c>
      <c r="K17" s="201">
        <f>EdSpend!E14</f>
        <v>26306846.6277721</v>
      </c>
      <c r="L17" s="201">
        <f>EdSpend!E16</f>
        <v>27781418.178035799</v>
      </c>
      <c r="M17" s="201">
        <f>EdSpend!E18</f>
        <v>29612355.118570101</v>
      </c>
      <c r="N17" s="201">
        <f>EdSpend!E20</f>
        <v>30785442.108961999</v>
      </c>
      <c r="O17" s="201">
        <f>EdSpend!E22</f>
        <v>31862932.582775671</v>
      </c>
      <c r="P17" s="201">
        <f>EdSpend!E24</f>
        <v>32978135.223172821</v>
      </c>
      <c r="Q17" s="201">
        <f>EdSpend!E26</f>
        <v>34132369.95598387</v>
      </c>
      <c r="R17" s="201">
        <f>EdSpend!E28</f>
        <v>35327002.904443309</v>
      </c>
      <c r="S17" s="201">
        <f>EdSpend!E30</f>
        <v>36563448.006098822</v>
      </c>
      <c r="T17" s="201">
        <f>EdSpend!E32</f>
        <v>37843168.686312281</v>
      </c>
      <c r="U17" s="201">
        <f>EdSpend!E34</f>
        <v>39167679.590333208</v>
      </c>
      <c r="V17" s="201">
        <f>EdSpend!E36</f>
        <v>40538548.375994869</v>
      </c>
      <c r="W17" s="201">
        <f>EdSpend!E38</f>
        <v>41957397.569154687</v>
      </c>
      <c r="X17" s="201">
        <f>EdSpend!E40</f>
        <v>43425906.484075099</v>
      </c>
      <c r="Y17" s="201">
        <f>EdSpend!E42</f>
        <v>44945813.211017728</v>
      </c>
      <c r="Z17" s="201">
        <f>EdSpend!E44</f>
        <v>46518916.673403345</v>
      </c>
      <c r="AA17" s="201">
        <f>EdSpend!E46</f>
        <v>48147078.756972462</v>
      </c>
      <c r="AB17" s="201">
        <f>EdSpend!E48</f>
        <v>49832226.5134665</v>
      </c>
      <c r="AC17" s="201">
        <f>EdSpend!E50</f>
        <v>51576354.441437826</v>
      </c>
      <c r="AD17" s="201">
        <f>EdSpend!E52</f>
        <v>53381526.846888147</v>
      </c>
      <c r="AE17" s="201">
        <f>EdSpend!E54</f>
        <v>55249880.286529236</v>
      </c>
      <c r="AF17" s="201">
        <f>EdSpend!E56</f>
        <v>57183626.096557759</v>
      </c>
      <c r="AG17" s="201">
        <f>EdSpend!E58</f>
        <v>59185053.009937279</v>
      </c>
      <c r="AH17" s="201">
        <f>EdSpend!E60</f>
        <v>61256529.865285084</v>
      </c>
      <c r="AI17" s="201">
        <f>EdSpend!E62</f>
        <v>63400508.410570063</v>
      </c>
      <c r="AJ17" s="201">
        <f>EdSpend!E64</f>
        <v>65619526.204940014</v>
      </c>
      <c r="AK17" s="201">
        <f>EdSpend!E66</f>
        <v>67916209.622112915</v>
      </c>
      <c r="AL17" s="201">
        <f>EdSpend!E68</f>
        <v>70293276.958886862</v>
      </c>
      <c r="AM17" s="201">
        <f>EdSpend!E70</f>
        <v>72753541.652447909</v>
      </c>
      <c r="AN17" s="201">
        <f>EdSpend!E72</f>
        <v>75299915.610283583</v>
      </c>
      <c r="AO17" s="201">
        <f>EdSpend!E74</f>
        <v>77935412.65664351</v>
      </c>
      <c r="AP17" s="201">
        <f>EdSpend!E76</f>
        <v>80663152.099626034</v>
      </c>
      <c r="AQ17" s="201">
        <f>EdSpend!E78</f>
        <v>83486362.423112944</v>
      </c>
    </row>
    <row r="18" spans="2:43" x14ac:dyDescent="0.35">
      <c r="B18" t="s">
        <v>206</v>
      </c>
      <c r="E18" s="199">
        <f>IF(E13=0,EdSpend!D10,IF(E13=1,EdSpend!D12,IF(E13=2,EdSpend!D14,IF(E13=3,EdSpend!D16,IF(E13=4,EdSpend!D18,IF(E13=5,EdSpend!D20,IF(E13=6,EdSpend!D22,IF(E13=7,EdSpend!D24,IF(E13=8,EdSpend!D26,IF(E13=9,EdSpend!D28,IF(E13=10,EdSpend!D30,IF(E13=11,EdSpend!D32,IF(E13=12,EdSpend!D34,IF(E13=13,EdSpend!D36,IF(E13=14,EdSpend!D38,IF(E13=15,EdSpend!D40,IF(E13=16,EdSpend!D42,IF(E13=17,EdSpend!D44,IF(E13=18,EdSpend!D46,IF(E13=19,EdSpend!D48,IF(E13=20,EdSpend!D50,IF(E13=21,EdSpend!D52,IF(E13=22,EdSpend!D54,IF(E13=23,EdSpend!D56,IF(E13=24,EdSpend!D58,IF(E13=25,EdSpend!D60,IF(E13=26,EdSpend!D62,IF(E13=27,EdSpend!D64,IF(E13=28,EdSpend!D66,IF(E13=29,EdSpend!D68,IF(E13=30,EdSpend!D70,0)))))))))))))))))))))))))))))))</f>
        <v>21582484</v>
      </c>
      <c r="F18" s="97"/>
      <c r="G18" s="96"/>
      <c r="H18" s="50"/>
      <c r="I18" s="112">
        <f>EdSpend!D10</f>
        <v>21582484</v>
      </c>
      <c r="J18" s="201">
        <f>EdSpend!D12</f>
        <v>25241553</v>
      </c>
      <c r="K18" s="112">
        <f>EdSpend!D14</f>
        <v>26306846.6277721</v>
      </c>
      <c r="L18" s="112">
        <f>EdSpend!D16</f>
        <v>30190392.415894412</v>
      </c>
      <c r="M18" s="112">
        <f>EdSpend!D18</f>
        <v>31571028.068321645</v>
      </c>
      <c r="N18" s="112">
        <f>EdSpend!D20</f>
        <v>33609548.706201121</v>
      </c>
      <c r="O18" s="112">
        <f>EdSpend!D22</f>
        <v>33573244.50987675</v>
      </c>
      <c r="P18" s="112">
        <f>EdSpend!D24</f>
        <v>34835462.746628955</v>
      </c>
      <c r="Q18" s="112">
        <f>EdSpend!D26</f>
        <v>35757563.855612807</v>
      </c>
      <c r="R18" s="112">
        <f>EdSpend!D28</f>
        <v>37760956.499053694</v>
      </c>
      <c r="S18" s="112">
        <f>EdSpend!D30</f>
        <v>38277099.280439727</v>
      </c>
      <c r="T18" s="112">
        <f>EdSpend!D32</f>
        <v>40152502.524370231</v>
      </c>
      <c r="U18" s="112">
        <f>EdSpend!D34</f>
        <v>43819565.161862895</v>
      </c>
      <c r="V18" s="112">
        <f>EdSpend!D36</f>
        <v>45148463.720379166</v>
      </c>
      <c r="W18" s="112">
        <f>EdSpend!D38</f>
        <v>46526482.812718503</v>
      </c>
      <c r="X18" s="112">
        <f>EdSpend!D40</f>
        <v>47955358.759459578</v>
      </c>
      <c r="Y18" s="112">
        <f>EdSpend!D42</f>
        <v>49436889.507496074</v>
      </c>
      <c r="Z18" s="112">
        <f>EdSpend!D44</f>
        <v>50972936.829712421</v>
      </c>
      <c r="AA18" s="112">
        <f>EdSpend!D46</f>
        <v>52565428.603785977</v>
      </c>
      <c r="AB18" s="112">
        <f>EdSpend!D48</f>
        <v>54216361.172991849</v>
      </c>
      <c r="AC18" s="112">
        <f>EdSpend!D50</f>
        <v>55927801.791992769</v>
      </c>
      <c r="AD18" s="112">
        <f>EdSpend!D52</f>
        <v>57701891.160706341</v>
      </c>
      <c r="AE18" s="112">
        <f>EdSpend!D54</f>
        <v>59540846.049456008</v>
      </c>
      <c r="AF18" s="112">
        <f>EdSpend!D56</f>
        <v>61446962.018730715</v>
      </c>
      <c r="AG18" s="112">
        <f>EdSpend!D58</f>
        <v>63422616.23700089</v>
      </c>
      <c r="AH18" s="112">
        <f>EdSpend!D60</f>
        <v>65470270.400166065</v>
      </c>
      <c r="AI18" s="112">
        <f>EdSpend!D62</f>
        <v>67592473.756341442</v>
      </c>
      <c r="AJ18" s="112">
        <f>EdSpend!D64</f>
        <v>69791866.239828497</v>
      </c>
      <c r="AK18" s="112">
        <f>EdSpend!D66</f>
        <v>72071181.718256533</v>
      </c>
      <c r="AL18" s="112">
        <f>EdSpend!D68</f>
        <v>74433251.357030526</v>
      </c>
      <c r="AM18" s="112">
        <f>EdSpend!D70</f>
        <v>76881007.1053738</v>
      </c>
      <c r="AN18" s="201">
        <f>EdSpend!D72</f>
        <v>79417485.308412984</v>
      </c>
      <c r="AO18" s="201">
        <f>EdSpend!D74</f>
        <v>82045830.449918762</v>
      </c>
      <c r="AP18" s="201">
        <f>EdSpend!D76</f>
        <v>84769299.030486614</v>
      </c>
      <c r="AQ18" s="201">
        <f>EdSpend!D78</f>
        <v>87591263.586120278</v>
      </c>
    </row>
    <row r="19" spans="2:43" s="138" customFormat="1" hidden="1" x14ac:dyDescent="0.35">
      <c r="B19" s="138" t="s">
        <v>131</v>
      </c>
      <c r="E19" s="139">
        <v>87</v>
      </c>
      <c r="F19" s="140"/>
      <c r="G19" s="141"/>
      <c r="H19" s="142"/>
      <c r="I19" s="143"/>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row>
    <row r="20" spans="2:43" s="101" customFormat="1" x14ac:dyDescent="0.35">
      <c r="B20" s="101" t="s">
        <v>209</v>
      </c>
      <c r="E20" s="155">
        <f>IF(E13=0,Enrollment!C9,IF(E13=1,Enrollment!C11,IF(E13=2,Enrollment!C13,IF(E13=3,Enrollment!C15,IF(E13=4,Enrollment!C17,IF(E13=5,Enrollment!C19,IF(E13=6,Enrollment!C21,IF(E13=7,Enrollment!C23,IF(E13=8,Enrollment!C25,IF(E13=9,Enrollment!C27,IF(E13=10,Enrollment!C29,IF(E13=11,Enrollment!C31,IF(E13=12,Enrollment!C33,IF(E13=13,Enrollment!C35,IF(E13=14,Enrollment!C37,IF(E13=15,Enrollment!C39,IF(E13=16,Enrollment!C41,IF(E13=17,Enrollment!C43,IF(E13=18,Enrollment!C45,IF(E13=19,Enrollment!C47,IF(E13=20,Enrollment!C49,IF(E13=21,Enrollment!C51,IF(E13=22,Enrollment!C53,IF(E13=23,Enrollment!C55,IF(E13=24,Enrollment!C57,IF(E13=25,Enrollment!C59,IF(E13=26,Enrollment!C61,IF(E13=27,Enrollment!C63,IF(E13=28,Enrollment!C65,IF(E13=29,Enrollment!C67,IF(E13=30,Enrollment!C69,0)))))))))))))))))))))))))))))))</f>
        <v>1520.47</v>
      </c>
      <c r="F20" s="127"/>
      <c r="G20" s="100">
        <f t="shared" si="1"/>
        <v>1520.47</v>
      </c>
      <c r="H20" s="100"/>
      <c r="I20" s="158">
        <v>1387.6</v>
      </c>
      <c r="J20" s="158">
        <f>Enrollment!C13</f>
        <v>1520.47</v>
      </c>
      <c r="K20" s="158">
        <f>Enrollment!C15</f>
        <v>1520.47</v>
      </c>
      <c r="L20" s="158">
        <f>Enrollment!C17</f>
        <v>1520.47</v>
      </c>
      <c r="M20" s="158">
        <f>Enrollment!C19</f>
        <v>1520.47</v>
      </c>
      <c r="N20" s="158">
        <f>Enrollment!C21</f>
        <v>1520.47</v>
      </c>
      <c r="O20" s="158">
        <f>Enrollment!C23</f>
        <v>1520.47</v>
      </c>
      <c r="P20" s="158">
        <f>Enrollment!C25</f>
        <v>1520.47</v>
      </c>
      <c r="Q20" s="158">
        <f>Enrollment!C27</f>
        <v>1520.47</v>
      </c>
      <c r="R20" s="158">
        <f>Enrollment!C29</f>
        <v>1520.47</v>
      </c>
      <c r="S20" s="158">
        <f>Enrollment!C31</f>
        <v>1520.47</v>
      </c>
      <c r="T20" s="158">
        <f>Enrollment!C33</f>
        <v>1520.47</v>
      </c>
      <c r="U20" s="158">
        <f>Enrollment!C35</f>
        <v>1520.47</v>
      </c>
      <c r="V20" s="158">
        <f>Enrollment!C37</f>
        <v>1520.47</v>
      </c>
      <c r="W20" s="158">
        <f>Enrollment!C39</f>
        <v>1520.47</v>
      </c>
      <c r="X20" s="158">
        <f>Enrollment!C41</f>
        <v>1520.47</v>
      </c>
      <c r="Y20" s="158">
        <f>Enrollment!C43</f>
        <v>1520.47</v>
      </c>
      <c r="Z20" s="158">
        <f>Enrollment!C45</f>
        <v>1520.47</v>
      </c>
      <c r="AA20" s="158">
        <f>Enrollment!C47</f>
        <v>1520.47</v>
      </c>
      <c r="AB20" s="158">
        <f>Enrollment!C49</f>
        <v>1520.47</v>
      </c>
      <c r="AC20" s="158">
        <f>Enrollment!C51</f>
        <v>1520.47</v>
      </c>
      <c r="AD20" s="158">
        <f>Enrollment!C53</f>
        <v>1520.47</v>
      </c>
      <c r="AE20" s="158">
        <f>Enrollment!C55</f>
        <v>1520.47</v>
      </c>
      <c r="AF20" s="158">
        <f>Enrollment!C57</f>
        <v>1520.47</v>
      </c>
      <c r="AG20" s="158">
        <f>Enrollment!C59</f>
        <v>1520.47</v>
      </c>
      <c r="AH20" s="158">
        <f>Enrollment!C61</f>
        <v>1520.47</v>
      </c>
      <c r="AI20" s="158">
        <f>Enrollment!C63</f>
        <v>1520.47</v>
      </c>
      <c r="AJ20" s="158">
        <f>Enrollment!C65</f>
        <v>1520.47</v>
      </c>
      <c r="AK20" s="158">
        <f>Enrollment!C67</f>
        <v>1520.47</v>
      </c>
      <c r="AL20" s="158">
        <f>Enrollment!C69</f>
        <v>1520.47</v>
      </c>
      <c r="AM20" s="158">
        <f>Enrollment!C71</f>
        <v>1520.47</v>
      </c>
      <c r="AN20" s="158">
        <f>Enrollment!C73</f>
        <v>1520.47</v>
      </c>
      <c r="AO20" s="158">
        <f>Enrollment!C75</f>
        <v>1520.47</v>
      </c>
      <c r="AP20" s="158">
        <f>Enrollment!C77</f>
        <v>1520.47</v>
      </c>
      <c r="AQ20" s="158">
        <f>Enrollment!C79</f>
        <v>1520.47</v>
      </c>
    </row>
    <row r="21" spans="2:43" s="101" customFormat="1" x14ac:dyDescent="0.35">
      <c r="B21" s="101" t="s">
        <v>210</v>
      </c>
      <c r="E21" s="155">
        <f>IF(E13=0,Enrollment!D9,IF(E13=1,Enrollment!D11,IF(E13=2,Enrollment!D13,IF(E13=3,Enrollment!D15,IF(E13=4,Enrollment!D17,IF(E13=5,Enrollment!D19,IF(E13=6,Enrollment!D21,IF(E13=7,Enrollment!D23,IF(E13=8,Enrollment!D25,IF(E13=9,Enrollment!D27,IF(E13=10,Enrollment!D29,IF(E13=11,Enrollment!D31,IF(E13=12,Enrollment!D33,IF(E13=13,Enrollment!D35,IF(E13=14,Enrollment!D37,IF(E13=15,Enrollment!D39,IF(E13=16,Enrollment!D41,IF(E13=17,Enrollment!D43,IF(E13=18,Enrollment!D45,IF(E13=19,Enrollment!D47,IF(E13=20,Enrollment!D49,IF(E13=21,Enrollment!D51,IF(E13=22,Enrollment!D53,IF(E13=23,Enrollment!D55,IF(E13=24,Enrollment!D57,IF(E13=25,Enrollment!D59,IF(E13=26,Enrollment!D61,IF(E13=27,Enrollment!D63,IF(E13=28,Enrollment!D65,IF(E13=29,Enrollment!D67,IF(E13=30,Enrollment!D69,0)))))))))))))))))))))))))))))))</f>
        <v>1520.47</v>
      </c>
      <c r="F21" s="127"/>
      <c r="G21" s="100"/>
      <c r="H21" s="100"/>
      <c r="I21" s="158">
        <v>1387.6</v>
      </c>
      <c r="J21" s="158">
        <f>Enrollment!D13</f>
        <v>1520.47</v>
      </c>
      <c r="K21" s="158">
        <f>Enrollment!D15</f>
        <v>1520.47</v>
      </c>
      <c r="L21" s="158">
        <f>Enrollment!D17</f>
        <v>1520.47</v>
      </c>
      <c r="M21" s="158">
        <f>Enrollment!D19</f>
        <v>1520.47</v>
      </c>
      <c r="N21" s="158">
        <f>Enrollment!D21</f>
        <v>1520.47</v>
      </c>
      <c r="O21" s="158">
        <f>Enrollment!D23</f>
        <v>1520.47</v>
      </c>
      <c r="P21" s="158">
        <f>Enrollment!D25</f>
        <v>1520.47</v>
      </c>
      <c r="Q21" s="158">
        <f>Enrollment!D27</f>
        <v>1520.47</v>
      </c>
      <c r="R21" s="158">
        <f>Enrollment!D29</f>
        <v>1520.47</v>
      </c>
      <c r="S21" s="158">
        <f>Enrollment!D31</f>
        <v>1520.47</v>
      </c>
      <c r="T21" s="158">
        <f>Enrollment!D33</f>
        <v>1520.47</v>
      </c>
      <c r="U21" s="158">
        <f>Enrollment!D35</f>
        <v>1520.47</v>
      </c>
      <c r="V21" s="158">
        <f>Enrollment!D37</f>
        <v>1520.47</v>
      </c>
      <c r="W21" s="158">
        <f>Enrollment!D39</f>
        <v>1520.47</v>
      </c>
      <c r="X21" s="158">
        <f>Enrollment!D41</f>
        <v>1520.47</v>
      </c>
      <c r="Y21" s="158">
        <f>Enrollment!D43</f>
        <v>1520.47</v>
      </c>
      <c r="Z21" s="158">
        <f>Enrollment!D45</f>
        <v>1520.47</v>
      </c>
      <c r="AA21" s="158">
        <f>Enrollment!D47</f>
        <v>1520.47</v>
      </c>
      <c r="AB21" s="158">
        <f>Enrollment!D49</f>
        <v>1520.47</v>
      </c>
      <c r="AC21" s="158">
        <f>Enrollment!D51</f>
        <v>1520.47</v>
      </c>
      <c r="AD21" s="158">
        <f>Enrollment!D53</f>
        <v>1520.47</v>
      </c>
      <c r="AE21" s="158">
        <f>Enrollment!D55</f>
        <v>1520.47</v>
      </c>
      <c r="AF21" s="158">
        <f>Enrollment!D57</f>
        <v>1520.47</v>
      </c>
      <c r="AG21" s="158">
        <f>Enrollment!D59</f>
        <v>1520.47</v>
      </c>
      <c r="AH21" s="158">
        <f>Enrollment!D61</f>
        <v>1520.47</v>
      </c>
      <c r="AI21" s="158">
        <f>Enrollment!D63</f>
        <v>1520.47</v>
      </c>
      <c r="AJ21" s="158">
        <f>Enrollment!D65</f>
        <v>1520.47</v>
      </c>
      <c r="AK21" s="158">
        <f>Enrollment!D67</f>
        <v>1520.47</v>
      </c>
      <c r="AL21" s="158">
        <f>Enrollment!D69</f>
        <v>1520.47</v>
      </c>
      <c r="AM21" s="158">
        <f>Enrollment!D71</f>
        <v>1520.47</v>
      </c>
      <c r="AN21" s="158">
        <f>Enrollment!D73</f>
        <v>1520.47</v>
      </c>
      <c r="AO21" s="158">
        <f>Enrollment!D75</f>
        <v>1520.47</v>
      </c>
      <c r="AP21" s="158">
        <f>Enrollment!D77</f>
        <v>1520.47</v>
      </c>
      <c r="AQ21" s="158">
        <f>Enrollment!D79</f>
        <v>1520.47</v>
      </c>
    </row>
    <row r="22" spans="2:43" x14ac:dyDescent="0.35">
      <c r="B22" t="s">
        <v>207</v>
      </c>
      <c r="E22" s="61">
        <f>E17/E20</f>
        <v>14194.613507665392</v>
      </c>
      <c r="F22" s="46"/>
      <c r="G22" s="86">
        <f t="shared" si="1"/>
        <v>14194.613507665392</v>
      </c>
      <c r="H22" s="64"/>
      <c r="I22" s="61">
        <f t="shared" ref="I22:AQ22" si="2">I17/I20</f>
        <v>15553.822427212453</v>
      </c>
      <c r="J22" s="61">
        <f t="shared" si="2"/>
        <v>16601.151617591928</v>
      </c>
      <c r="K22" s="61">
        <f t="shared" si="2"/>
        <v>17301.786044954588</v>
      </c>
      <c r="L22" s="61">
        <f t="shared" si="2"/>
        <v>18271.599030586462</v>
      </c>
      <c r="M22" s="61">
        <f t="shared" si="2"/>
        <v>19475.79045858853</v>
      </c>
      <c r="N22" s="61">
        <f t="shared" si="2"/>
        <v>20247.319650477813</v>
      </c>
      <c r="O22" s="61">
        <f t="shared" si="2"/>
        <v>20955.975838244536</v>
      </c>
      <c r="P22" s="61">
        <f t="shared" si="2"/>
        <v>21689.434992583097</v>
      </c>
      <c r="Q22" s="61">
        <f t="shared" si="2"/>
        <v>22448.565217323503</v>
      </c>
      <c r="R22" s="61">
        <f t="shared" si="2"/>
        <v>23234.26499992983</v>
      </c>
      <c r="S22" s="61">
        <f t="shared" si="2"/>
        <v>24047.464274927373</v>
      </c>
      <c r="T22" s="61">
        <f t="shared" si="2"/>
        <v>24889.125524549829</v>
      </c>
      <c r="U22" s="61">
        <f t="shared" si="2"/>
        <v>25760.244917909073</v>
      </c>
      <c r="V22" s="61">
        <f t="shared" si="2"/>
        <v>26661.85349003589</v>
      </c>
      <c r="W22" s="61">
        <f t="shared" si="2"/>
        <v>27595.018362187144</v>
      </c>
      <c r="X22" s="61">
        <f t="shared" si="2"/>
        <v>28560.844004863691</v>
      </c>
      <c r="Y22" s="61">
        <f t="shared" si="2"/>
        <v>29560.473545033921</v>
      </c>
      <c r="Z22" s="61">
        <f t="shared" si="2"/>
        <v>30595.090119110107</v>
      </c>
      <c r="AA22" s="61">
        <f t="shared" si="2"/>
        <v>31665.91827327896</v>
      </c>
      <c r="AB22" s="61">
        <f t="shared" si="2"/>
        <v>32774.225412843727</v>
      </c>
      <c r="AC22" s="61">
        <f t="shared" si="2"/>
        <v>33921.323302293255</v>
      </c>
      <c r="AD22" s="61">
        <f t="shared" si="2"/>
        <v>35108.569617873516</v>
      </c>
      <c r="AE22" s="61">
        <f t="shared" si="2"/>
        <v>36337.369554499091</v>
      </c>
      <c r="AF22" s="61">
        <f t="shared" si="2"/>
        <v>37609.177488906564</v>
      </c>
      <c r="AG22" s="61">
        <f t="shared" si="2"/>
        <v>38925.498701018289</v>
      </c>
      <c r="AH22" s="61">
        <f t="shared" si="2"/>
        <v>40287.891155553931</v>
      </c>
      <c r="AI22" s="61">
        <f t="shared" si="2"/>
        <v>41697.967345998317</v>
      </c>
      <c r="AJ22" s="61">
        <f t="shared" si="2"/>
        <v>43157.396203108256</v>
      </c>
      <c r="AK22" s="61">
        <f t="shared" si="2"/>
        <v>44667.90507021705</v>
      </c>
      <c r="AL22" s="61">
        <f t="shared" si="2"/>
        <v>46231.281747674642</v>
      </c>
      <c r="AM22" s="61">
        <f t="shared" si="2"/>
        <v>47849.37660884326</v>
      </c>
      <c r="AN22" s="61">
        <f t="shared" si="2"/>
        <v>49524.104790152771</v>
      </c>
      <c r="AO22" s="61">
        <f t="shared" si="2"/>
        <v>51257.448457808117</v>
      </c>
      <c r="AP22" s="61">
        <f t="shared" si="2"/>
        <v>53051.459153831405</v>
      </c>
      <c r="AQ22" s="61">
        <f t="shared" si="2"/>
        <v>54908.260224215497</v>
      </c>
    </row>
    <row r="23" spans="2:43" x14ac:dyDescent="0.35">
      <c r="B23" t="s">
        <v>121</v>
      </c>
      <c r="E23" s="61">
        <f>E22+(E16/E20)</f>
        <v>14194.613507665392</v>
      </c>
      <c r="F23" s="46"/>
      <c r="G23" s="72">
        <f t="shared" si="1"/>
        <v>14194.613507665392</v>
      </c>
      <c r="H23" s="72"/>
      <c r="I23" s="61">
        <f>I22+(I16/I20)</f>
        <v>15553.822427212453</v>
      </c>
      <c r="J23" s="61">
        <f>J22+(I16/J20)</f>
        <v>16601.151617591928</v>
      </c>
      <c r="K23" s="61">
        <f t="shared" ref="K23:AQ23" si="3">K22+(K16/K20)</f>
        <v>17301.786044954588</v>
      </c>
      <c r="L23" s="61">
        <f t="shared" si="3"/>
        <v>18271.599030586462</v>
      </c>
      <c r="M23" s="61">
        <f t="shared" si="3"/>
        <v>22600.926551820015</v>
      </c>
      <c r="N23" s="61">
        <f t="shared" si="3"/>
        <v>23482.734588853018</v>
      </c>
      <c r="O23" s="61">
        <f t="shared" si="3"/>
        <v>24301.669621763467</v>
      </c>
      <c r="P23" s="61">
        <f t="shared" si="3"/>
        <v>25145.407621245751</v>
      </c>
      <c r="Q23" s="61">
        <f t="shared" si="3"/>
        <v>26014.816691129876</v>
      </c>
      <c r="R23" s="61">
        <f t="shared" si="3"/>
        <v>27021.287469333405</v>
      </c>
      <c r="S23" s="61">
        <f t="shared" si="3"/>
        <v>27771.135067333489</v>
      </c>
      <c r="T23" s="61">
        <f t="shared" si="3"/>
        <v>28549.444639958489</v>
      </c>
      <c r="U23" s="61">
        <f t="shared" si="3"/>
        <v>29357.212356320277</v>
      </c>
      <c r="V23" s="61">
        <f t="shared" si="3"/>
        <v>30195.469251449635</v>
      </c>
      <c r="W23" s="61">
        <f t="shared" si="3"/>
        <v>31065.282446603433</v>
      </c>
      <c r="X23" s="61">
        <f t="shared" si="3"/>
        <v>31967.756412282521</v>
      </c>
      <c r="Y23" s="61">
        <f t="shared" si="3"/>
        <v>32904.034275455291</v>
      </c>
      <c r="Z23" s="61">
        <f t="shared" si="3"/>
        <v>33875.299172534025</v>
      </c>
      <c r="AA23" s="61">
        <f t="shared" si="3"/>
        <v>34882.775649705414</v>
      </c>
      <c r="AB23" s="61">
        <f t="shared" si="3"/>
        <v>35927.731112272726</v>
      </c>
      <c r="AC23" s="61">
        <f t="shared" si="3"/>
        <v>37011.477324724794</v>
      </c>
      <c r="AD23" s="61">
        <f t="shared" si="3"/>
        <v>38135.371963307603</v>
      </c>
      <c r="AE23" s="61">
        <f t="shared" si="3"/>
        <v>39300.820222935719</v>
      </c>
      <c r="AF23" s="61">
        <f t="shared" si="3"/>
        <v>40509.276480345732</v>
      </c>
      <c r="AG23" s="61">
        <f t="shared" si="3"/>
        <v>41762.246015459998</v>
      </c>
      <c r="AH23" s="61">
        <f t="shared" si="3"/>
        <v>43061.286792998188</v>
      </c>
      <c r="AI23" s="61">
        <f t="shared" si="3"/>
        <v>44408.011306445114</v>
      </c>
      <c r="AJ23" s="61">
        <f t="shared" si="3"/>
        <v>45804.088486557594</v>
      </c>
      <c r="AK23" s="61">
        <f t="shared" si="3"/>
        <v>47251.245676668928</v>
      </c>
      <c r="AL23" s="61">
        <f t="shared" si="3"/>
        <v>48751.270677129069</v>
      </c>
      <c r="AM23" s="61">
        <f t="shared" si="3"/>
        <v>50306.013861300227</v>
      </c>
      <c r="AN23" s="61">
        <f t="shared" si="3"/>
        <v>51917.390365612278</v>
      </c>
      <c r="AO23" s="61">
        <f t="shared" si="3"/>
        <v>53587.382356270165</v>
      </c>
      <c r="AP23" s="61">
        <f t="shared" si="3"/>
        <v>55318.041375296001</v>
      </c>
      <c r="AQ23" s="61">
        <f t="shared" si="3"/>
        <v>57111.490768682634</v>
      </c>
    </row>
    <row r="24" spans="2:43" x14ac:dyDescent="0.35">
      <c r="B24" t="s">
        <v>208</v>
      </c>
      <c r="E24" s="61">
        <f>E18/E21</f>
        <v>14194.613507665392</v>
      </c>
      <c r="F24" s="46"/>
      <c r="G24" s="72"/>
      <c r="H24" s="72"/>
      <c r="I24" s="61">
        <f t="shared" ref="I24:AQ24" si="4">I18/I21</f>
        <v>15553.822427212453</v>
      </c>
      <c r="J24" s="61">
        <f t="shared" si="4"/>
        <v>16601.151617591928</v>
      </c>
      <c r="K24" s="61">
        <f t="shared" si="4"/>
        <v>17301.786044954588</v>
      </c>
      <c r="L24" s="61">
        <f t="shared" si="4"/>
        <v>19855.960601586623</v>
      </c>
      <c r="M24" s="61">
        <f t="shared" si="4"/>
        <v>20763.992757714157</v>
      </c>
      <c r="N24" s="61">
        <f t="shared" si="4"/>
        <v>22104.710192375464</v>
      </c>
      <c r="O24" s="61">
        <f t="shared" si="4"/>
        <v>22080.833235694718</v>
      </c>
      <c r="P24" s="61">
        <f t="shared" si="4"/>
        <v>22910.983279268221</v>
      </c>
      <c r="Q24" s="61">
        <f t="shared" si="4"/>
        <v>23517.441222525144</v>
      </c>
      <c r="R24" s="61">
        <f t="shared" si="4"/>
        <v>24835.055278337419</v>
      </c>
      <c r="S24" s="61">
        <f t="shared" si="4"/>
        <v>25174.517932244456</v>
      </c>
      <c r="T24" s="61">
        <f t="shared" si="4"/>
        <v>26407.954464323684</v>
      </c>
      <c r="U24" s="61">
        <f t="shared" si="4"/>
        <v>28819.749920658018</v>
      </c>
      <c r="V24" s="61">
        <f t="shared" si="4"/>
        <v>29693.755036521052</v>
      </c>
      <c r="W24" s="61">
        <f t="shared" si="4"/>
        <v>30600.06630365512</v>
      </c>
      <c r="X24" s="61">
        <f t="shared" si="4"/>
        <v>31539.8256851234</v>
      </c>
      <c r="Y24" s="61">
        <f t="shared" si="4"/>
        <v>32514.215675084724</v>
      </c>
      <c r="Z24" s="61">
        <f t="shared" si="4"/>
        <v>33524.460745501339</v>
      </c>
      <c r="AA24" s="61">
        <f t="shared" si="4"/>
        <v>34571.828844887423</v>
      </c>
      <c r="AB24" s="61">
        <f t="shared" si="4"/>
        <v>35657.632950990053</v>
      </c>
      <c r="AC24" s="61">
        <f t="shared" si="4"/>
        <v>36783.232679364126</v>
      </c>
      <c r="AD24" s="61">
        <f t="shared" si="4"/>
        <v>37950.035949874931</v>
      </c>
      <c r="AE24" s="61">
        <f t="shared" si="4"/>
        <v>39159.500713237358</v>
      </c>
      <c r="AF24" s="61">
        <f t="shared" si="4"/>
        <v>40413.136739778303</v>
      </c>
      <c r="AG24" s="61">
        <f t="shared" si="4"/>
        <v>41712.507472689947</v>
      </c>
      <c r="AH24" s="61">
        <f t="shared" si="4"/>
        <v>43059.231948125293</v>
      </c>
      <c r="AI24" s="61">
        <f t="shared" si="4"/>
        <v>44454.986784574139</v>
      </c>
      <c r="AJ24" s="61">
        <f t="shared" si="4"/>
        <v>45901.508244048549</v>
      </c>
      <c r="AK24" s="61">
        <f t="shared" si="4"/>
        <v>47400.594367699814</v>
      </c>
      <c r="AL24" s="61">
        <f t="shared" si="4"/>
        <v>48954.107188586771</v>
      </c>
      <c r="AM24" s="61">
        <f t="shared" si="4"/>
        <v>50563.975024416002</v>
      </c>
      <c r="AN24" s="61">
        <f t="shared" si="4"/>
        <v>52232.194853178939</v>
      </c>
      <c r="AO24" s="61">
        <f t="shared" si="4"/>
        <v>53960.834774720162</v>
      </c>
      <c r="AP24" s="61">
        <f t="shared" si="4"/>
        <v>55752.036561383393</v>
      </c>
      <c r="AQ24" s="61">
        <f t="shared" si="4"/>
        <v>57608.018300999218</v>
      </c>
    </row>
    <row r="25" spans="2:43" x14ac:dyDescent="0.35">
      <c r="B25" t="s">
        <v>127</v>
      </c>
      <c r="E25" s="79">
        <f>EdSpend!H10</f>
        <v>10250</v>
      </c>
      <c r="G25" s="80">
        <f t="shared" si="1"/>
        <v>10250</v>
      </c>
      <c r="H25" s="80"/>
      <c r="I25" s="105">
        <v>10217.32</v>
      </c>
      <c r="J25" s="105">
        <f>EdSpend!H12</f>
        <v>10250</v>
      </c>
      <c r="K25" s="105">
        <f>EdSpend!H14</f>
        <v>10608.75</v>
      </c>
      <c r="L25" s="105">
        <f>EdSpend!H16</f>
        <v>10980.05625</v>
      </c>
      <c r="M25" s="105">
        <f>EdSpend!H18</f>
        <v>11364.35821875</v>
      </c>
      <c r="N25" s="105">
        <f>EdSpend!H20</f>
        <v>11762.110756406249</v>
      </c>
      <c r="O25" s="105">
        <f>EdSpend!H22</f>
        <v>12173.784632880468</v>
      </c>
      <c r="P25" s="105">
        <f>EdSpend!H24</f>
        <v>12599.867095031284</v>
      </c>
      <c r="Q25" s="105">
        <f>EdSpend!H26</f>
        <v>13040.862443357379</v>
      </c>
      <c r="R25" s="105">
        <f>EdSpend!H28</f>
        <v>13497.292628874888</v>
      </c>
      <c r="S25" s="105">
        <f>EdSpend!H30</f>
        <v>13969.697870885509</v>
      </c>
      <c r="T25" s="105">
        <f>EdSpend!H32</f>
        <v>14458.637296366502</v>
      </c>
      <c r="U25" s="105">
        <f>EdSpend!H34</f>
        <v>14964.68960173933</v>
      </c>
      <c r="V25" s="105">
        <f>EdSpend!H36</f>
        <v>15488.453737800206</v>
      </c>
      <c r="W25" s="105">
        <f>EdSpend!H38</f>
        <v>16030.549618623214</v>
      </c>
      <c r="X25" s="105">
        <f>EdSpend!H40</f>
        <v>16591.618855275028</v>
      </c>
      <c r="Y25" s="105">
        <f>EdSpend!H42</f>
        <v>17172.325515209654</v>
      </c>
      <c r="Z25" s="105">
        <f>EdSpend!H44</f>
        <v>17773.356908241993</v>
      </c>
      <c r="AA25" s="105">
        <f>EdSpend!H46</f>
        <v>18395.424400030461</v>
      </c>
      <c r="AB25" s="105">
        <f>EdSpend!H48</f>
        <v>19039.264254031528</v>
      </c>
      <c r="AC25" s="105">
        <f>EdSpend!H50</f>
        <v>19705.638502922633</v>
      </c>
      <c r="AD25" s="105">
        <f>EdSpend!H52</f>
        <v>20395.335850524927</v>
      </c>
      <c r="AE25" s="105">
        <f>EdSpend!H54</f>
        <v>21109.172605293301</v>
      </c>
      <c r="AF25" s="105">
        <f>EdSpend!H56</f>
        <v>21847.993646478568</v>
      </c>
      <c r="AG25" s="105">
        <f>EdSpend!H58</f>
        <v>22612.673424105316</v>
      </c>
      <c r="AH25" s="105">
        <f>EdSpend!H60</f>
        <v>23404.116993949003</v>
      </c>
      <c r="AI25" s="105">
        <f>EdSpend!H62</f>
        <v>24223.261088737218</v>
      </c>
      <c r="AJ25" s="105">
        <f>EdSpend!H64</f>
        <v>25071.075226843019</v>
      </c>
      <c r="AK25" s="105">
        <f>EdSpend!H66</f>
        <v>25948.562859782523</v>
      </c>
      <c r="AL25" s="79">
        <f>EdSpend!H68</f>
        <v>26856.762559874911</v>
      </c>
      <c r="AM25" s="79">
        <f>EdSpend!H70</f>
        <v>27796.749249470533</v>
      </c>
      <c r="AN25" s="79">
        <f>EdSpend!H72</f>
        <v>28769.635473202001</v>
      </c>
      <c r="AO25" s="79">
        <f>EdSpend!H74</f>
        <v>29776.572714764072</v>
      </c>
      <c r="AP25" s="79">
        <f>EdSpend!H76</f>
        <v>30818.752759780815</v>
      </c>
      <c r="AQ25" s="79">
        <f>EdSpend!H78</f>
        <v>31897.409106373143</v>
      </c>
    </row>
    <row r="26" spans="2:43" x14ac:dyDescent="0.35">
      <c r="B26" t="s">
        <v>150</v>
      </c>
      <c r="E26" s="79">
        <v>10300</v>
      </c>
      <c r="G26" s="80">
        <f>E26</f>
        <v>10300</v>
      </c>
      <c r="H26" s="80"/>
      <c r="I26" s="105">
        <f>EdSpend!K10</f>
        <v>10300</v>
      </c>
      <c r="J26" s="105">
        <f>EdSpend!K12</f>
        <v>10300</v>
      </c>
      <c r="K26" s="105">
        <f>EdSpend!K14</f>
        <v>10660.5</v>
      </c>
      <c r="L26" s="105">
        <f>EdSpend!K16</f>
        <v>11033.6175</v>
      </c>
      <c r="M26" s="105">
        <f>EdSpend!K18</f>
        <v>11419.7941125</v>
      </c>
      <c r="N26" s="105">
        <f>EdSpend!K20</f>
        <v>11819.4869064375</v>
      </c>
      <c r="O26" s="105">
        <f>EdSpend!K22</f>
        <v>12233.168948162813</v>
      </c>
      <c r="P26" s="105">
        <f>EdSpend!K24</f>
        <v>12661.329861348511</v>
      </c>
      <c r="Q26" s="105">
        <f>EdSpend!K26</f>
        <v>13104.476406495709</v>
      </c>
      <c r="R26" s="105">
        <f>EdSpend!K28</f>
        <v>13563.133080723059</v>
      </c>
      <c r="S26" s="105">
        <f>EdSpend!K30</f>
        <v>14037.842738548366</v>
      </c>
      <c r="T26" s="105">
        <f>EdSpend!K32</f>
        <v>14529.167234397559</v>
      </c>
      <c r="U26" s="105">
        <f>EdSpend!K34</f>
        <v>15037.688087601473</v>
      </c>
      <c r="V26" s="105">
        <f>EdSpend!K36</f>
        <v>15564.007170667524</v>
      </c>
      <c r="W26" s="105">
        <f>EdSpend!K38</f>
        <v>16108.747421640888</v>
      </c>
      <c r="X26" s="105">
        <f>EdSpend!K40</f>
        <v>16672.553581398319</v>
      </c>
      <c r="Y26" s="105">
        <f>EdSpend!K42</f>
        <v>17256.092956747259</v>
      </c>
      <c r="Z26" s="105">
        <f>EdSpend!K44</f>
        <v>17860.056210233415</v>
      </c>
      <c r="AA26" s="105">
        <f>EdSpend!K46</f>
        <v>18485.158177591584</v>
      </c>
      <c r="AB26" s="105">
        <f>EdSpend!K48</f>
        <v>19132.13871380729</v>
      </c>
      <c r="AC26" s="105">
        <f>EdSpend!K50</f>
        <v>19801.763568790546</v>
      </c>
      <c r="AD26" s="105">
        <f>EdSpend!K52</f>
        <v>20494.825293698213</v>
      </c>
      <c r="AE26" s="105">
        <f>EdSpend!K54</f>
        <v>21212.144178977651</v>
      </c>
      <c r="AF26" s="105">
        <f>EdSpend!K56</f>
        <v>21954.56922524187</v>
      </c>
      <c r="AG26" s="105">
        <f>EdSpend!K58</f>
        <v>22722.979148125334</v>
      </c>
      <c r="AH26" s="105">
        <f>EdSpend!K60</f>
        <v>23518.283418309722</v>
      </c>
      <c r="AI26" s="105">
        <f>EdSpend!K62</f>
        <v>24341.423337950564</v>
      </c>
      <c r="AJ26" s="105">
        <f>EdSpend!K64</f>
        <v>25193.373154778834</v>
      </c>
      <c r="AK26" s="105">
        <f>EdSpend!K66</f>
        <v>26075.141215196094</v>
      </c>
      <c r="AL26" s="105">
        <f>EdSpend!K68</f>
        <v>26987.771157727959</v>
      </c>
      <c r="AM26" s="105">
        <f>EdSpend!K70</f>
        <v>27932.343148248438</v>
      </c>
      <c r="AN26" s="105">
        <f>EdSpend!K72</f>
        <v>28909.975158437133</v>
      </c>
      <c r="AO26" s="105">
        <f>EdSpend!K74</f>
        <v>29921.824288982432</v>
      </c>
      <c r="AP26" s="105">
        <f>EdSpend!K76</f>
        <v>30969.088139096817</v>
      </c>
      <c r="AQ26" s="105">
        <f>EdSpend!K78</f>
        <v>32053.006223965207</v>
      </c>
    </row>
    <row r="27" spans="2:43" x14ac:dyDescent="0.35">
      <c r="B27" t="s">
        <v>212</v>
      </c>
      <c r="E27" s="198">
        <f>E22/E25</f>
        <v>1.3848403422112578</v>
      </c>
      <c r="G27" s="80">
        <f t="shared" si="1"/>
        <v>1.3848403422112578</v>
      </c>
      <c r="H27" s="80"/>
      <c r="I27" s="198">
        <f>I22/I25</f>
        <v>1.5222996272224472</v>
      </c>
      <c r="J27" s="198">
        <f t="shared" ref="J27:N27" si="5">J22/J25</f>
        <v>1.6196245480577491</v>
      </c>
      <c r="K27" s="198">
        <f t="shared" si="5"/>
        <v>1.630897706605829</v>
      </c>
      <c r="L27" s="198">
        <f t="shared" si="5"/>
        <v>1.6640715324738398</v>
      </c>
      <c r="M27" s="198">
        <f t="shared" si="5"/>
        <v>1.7137606967066137</v>
      </c>
      <c r="N27" s="198">
        <f t="shared" si="5"/>
        <v>1.7214018869402401</v>
      </c>
      <c r="O27" s="198">
        <f xml:space="preserve"> BaseEnroll!L20</f>
        <v>1.7214018869402401</v>
      </c>
      <c r="P27" s="198">
        <f xml:space="preserve"> BaseEnroll!M20</f>
        <v>1.7214018869402403</v>
      </c>
      <c r="Q27" s="198">
        <f xml:space="preserve"> BaseEnroll!N20</f>
        <v>1.7214018869402401</v>
      </c>
      <c r="R27" s="198">
        <f xml:space="preserve"> BaseEnroll!O20</f>
        <v>1.7214018869402405</v>
      </c>
      <c r="S27" s="198">
        <f xml:space="preserve"> BaseEnroll!P20</f>
        <v>1.7214018869402403</v>
      </c>
      <c r="T27" s="198">
        <f xml:space="preserve"> BaseEnroll!Q20</f>
        <v>1.7214018869402401</v>
      </c>
      <c r="U27" s="198">
        <f xml:space="preserve"> BaseEnroll!R20</f>
        <v>1.7214018869402401</v>
      </c>
      <c r="V27" s="198">
        <f xml:space="preserve"> BaseEnroll!S20</f>
        <v>1.7214018869402401</v>
      </c>
      <c r="W27" s="198">
        <f xml:space="preserve"> BaseEnroll!T20</f>
        <v>1.7214018869402399</v>
      </c>
      <c r="X27" s="198">
        <f xml:space="preserve"> BaseEnroll!U20</f>
        <v>1.7214018869402397</v>
      </c>
      <c r="Y27" s="198">
        <f xml:space="preserve"> BaseEnroll!V20</f>
        <v>1.7214018869402397</v>
      </c>
      <c r="Z27" s="198">
        <f xml:space="preserve"> BaseEnroll!W20</f>
        <v>1.7214018869402394</v>
      </c>
      <c r="AA27" s="198">
        <f xml:space="preserve"> BaseEnroll!X20</f>
        <v>1.7214018869402397</v>
      </c>
      <c r="AB27" s="198">
        <f xml:space="preserve"> BaseEnroll!Y20</f>
        <v>1.7214018869402397</v>
      </c>
      <c r="AC27" s="198">
        <f xml:space="preserve"> BaseEnroll!Z20</f>
        <v>1.7214018869402394</v>
      </c>
      <c r="AD27" s="198">
        <f xml:space="preserve"> BaseEnroll!AA20</f>
        <v>1.7214018869402392</v>
      </c>
      <c r="AE27" s="198">
        <f xml:space="preserve"> BaseEnroll!AB20</f>
        <v>1.7214018869402392</v>
      </c>
      <c r="AF27" s="198">
        <f xml:space="preserve"> BaseEnroll!AC20</f>
        <v>1.7214018869402392</v>
      </c>
      <c r="AG27" s="198">
        <f xml:space="preserve"> BaseEnroll!AD20</f>
        <v>1.721401886940239</v>
      </c>
      <c r="AH27" s="198">
        <f xml:space="preserve"> BaseEnroll!AE20</f>
        <v>1.7214018869402392</v>
      </c>
      <c r="AI27" s="198">
        <f xml:space="preserve"> BaseEnroll!AF20</f>
        <v>1.7214018869402392</v>
      </c>
      <c r="AJ27" s="198">
        <f xml:space="preserve"> BaseEnroll!AG20</f>
        <v>1.7214018869402392</v>
      </c>
      <c r="AK27" s="198">
        <f xml:space="preserve"> BaseEnroll!AH20</f>
        <v>1.7214018869402394</v>
      </c>
      <c r="AL27" s="198">
        <f xml:space="preserve"> BaseEnroll!AI20</f>
        <v>1.7214018869402392</v>
      </c>
      <c r="AM27" s="198">
        <f xml:space="preserve"> BaseEnroll!AJ20</f>
        <v>1.7214018869402394</v>
      </c>
      <c r="AN27" s="198">
        <f xml:space="preserve"> BaseEnroll!AK20</f>
        <v>1.7214018869402394</v>
      </c>
      <c r="AO27" s="198">
        <f xml:space="preserve"> BaseEnroll!AL20</f>
        <v>1.7214018869402392</v>
      </c>
      <c r="AP27" s="198">
        <f xml:space="preserve"> BaseEnroll!AM20</f>
        <v>1.7214018869402394</v>
      </c>
      <c r="AQ27" s="198">
        <f xml:space="preserve"> BaseEnroll!AN20</f>
        <v>1.7214018869402392</v>
      </c>
    </row>
    <row r="28" spans="2:43" x14ac:dyDescent="0.35">
      <c r="B28" t="s">
        <v>157</v>
      </c>
      <c r="E28" s="198">
        <f>E23/E25</f>
        <v>1.3848403422112578</v>
      </c>
      <c r="G28" s="134">
        <f>G23/G25</f>
        <v>1.3848403422112578</v>
      </c>
      <c r="H28" s="80">
        <v>1.5580219453228754</v>
      </c>
      <c r="I28" s="198">
        <f t="shared" ref="I28:AQ28" si="6">I23/I25</f>
        <v>1.5222996272224472</v>
      </c>
      <c r="J28" s="198">
        <f t="shared" ref="J28:N28" si="7">J23/J25</f>
        <v>1.6196245480577491</v>
      </c>
      <c r="K28" s="198">
        <f t="shared" si="7"/>
        <v>1.630897706605829</v>
      </c>
      <c r="L28" s="198">
        <f t="shared" si="7"/>
        <v>1.6640715324738398</v>
      </c>
      <c r="M28" s="198">
        <f t="shared" si="7"/>
        <v>1.9887552043661256</v>
      </c>
      <c r="N28" s="198">
        <f t="shared" si="7"/>
        <v>1.9964728334209159</v>
      </c>
      <c r="O28" s="198">
        <f t="shared" si="6"/>
        <v>1.9962296323303192</v>
      </c>
      <c r="P28" s="198">
        <f t="shared" si="6"/>
        <v>1.9956883220745842</v>
      </c>
      <c r="Q28" s="198">
        <f t="shared" si="6"/>
        <v>1.9948693427389872</v>
      </c>
      <c r="R28" s="198">
        <f t="shared" si="6"/>
        <v>2.0019783383466478</v>
      </c>
      <c r="S28" s="198">
        <f t="shared" si="6"/>
        <v>1.987955310415968</v>
      </c>
      <c r="T28" s="198">
        <f t="shared" si="6"/>
        <v>1.9745598464616751</v>
      </c>
      <c r="U28" s="198">
        <f t="shared" si="6"/>
        <v>1.9617655385854524</v>
      </c>
      <c r="V28" s="198">
        <f t="shared" si="6"/>
        <v>1.9495470472792487</v>
      </c>
      <c r="W28" s="198">
        <f t="shared" si="6"/>
        <v>1.9378800593657672</v>
      </c>
      <c r="X28" s="198">
        <f t="shared" si="6"/>
        <v>1.9267412475618018</v>
      </c>
      <c r="Y28" s="198">
        <f t="shared" si="6"/>
        <v>1.916108231602758</v>
      </c>
      <c r="Z28" s="198">
        <f t="shared" si="6"/>
        <v>1.905959540869014</v>
      </c>
      <c r="AA28" s="198">
        <f t="shared" si="6"/>
        <v>1.8962745784570021</v>
      </c>
      <c r="AB28" s="198">
        <f t="shared" si="6"/>
        <v>1.8870335866400456</v>
      </c>
      <c r="AC28" s="198">
        <f t="shared" si="6"/>
        <v>1.8782176136660302</v>
      </c>
      <c r="AD28" s="198">
        <f t="shared" si="6"/>
        <v>1.8698084818410132</v>
      </c>
      <c r="AE28" s="198">
        <f t="shared" si="6"/>
        <v>1.8617887568497455</v>
      </c>
      <c r="AF28" s="198">
        <f t="shared" si="6"/>
        <v>1.8541417182659683</v>
      </c>
      <c r="AG28" s="198">
        <f t="shared" si="6"/>
        <v>1.846851331207086</v>
      </c>
      <c r="AH28" s="198">
        <f t="shared" si="6"/>
        <v>1.8399022190895487</v>
      </c>
      <c r="AI28" s="198">
        <f t="shared" si="6"/>
        <v>1.8332796374429099</v>
      </c>
      <c r="AJ28" s="198">
        <f t="shared" si="6"/>
        <v>1.8269694487421193</v>
      </c>
      <c r="AK28" s="198">
        <f t="shared" si="6"/>
        <v>1.820958098219122</v>
      </c>
      <c r="AL28" s="198">
        <f t="shared" si="6"/>
        <v>1.8152325906163178</v>
      </c>
      <c r="AM28" s="198">
        <f t="shared" si="6"/>
        <v>1.809780467845838</v>
      </c>
      <c r="AN28" s="198">
        <f t="shared" si="6"/>
        <v>1.8045897875199592</v>
      </c>
      <c r="AO28" s="198">
        <f t="shared" si="6"/>
        <v>1.799649102319288</v>
      </c>
      <c r="AP28" s="198">
        <f t="shared" si="6"/>
        <v>1.7949474401666028</v>
      </c>
      <c r="AQ28" s="198">
        <f t="shared" si="6"/>
        <v>1.7904742851754591</v>
      </c>
    </row>
    <row r="29" spans="2:43" x14ac:dyDescent="0.35">
      <c r="B29" t="s">
        <v>213</v>
      </c>
      <c r="E29" s="198">
        <f>E24/E25</f>
        <v>1.3848403422112578</v>
      </c>
      <c r="G29" s="134"/>
      <c r="H29" s="80">
        <v>1.5580219453228754</v>
      </c>
      <c r="I29" s="198">
        <f>I24/I25</f>
        <v>1.5222996272224472</v>
      </c>
      <c r="J29" s="198">
        <f t="shared" ref="J29:N29" si="8">J24/J25</f>
        <v>1.6196245480577491</v>
      </c>
      <c r="K29" s="198">
        <f t="shared" si="8"/>
        <v>1.630897706605829</v>
      </c>
      <c r="L29" s="198">
        <f t="shared" si="8"/>
        <v>1.8083660183058374</v>
      </c>
      <c r="M29" s="198">
        <f t="shared" si="8"/>
        <v>1.8271152983769683</v>
      </c>
      <c r="N29" s="198">
        <f t="shared" si="8"/>
        <v>1.8793149163585374</v>
      </c>
      <c r="O29" s="198">
        <f t="shared" ref="O29:AQ29" si="9">O24/O25</f>
        <v>1.8138018620812515</v>
      </c>
      <c r="P29" s="198">
        <f t="shared" si="9"/>
        <v>1.8183511862837896</v>
      </c>
      <c r="Q29" s="198">
        <f t="shared" si="9"/>
        <v>1.8033654848114908</v>
      </c>
      <c r="R29" s="198">
        <f t="shared" si="9"/>
        <v>1.8400027295257382</v>
      </c>
      <c r="S29" s="198">
        <f t="shared" si="9"/>
        <v>1.8020803431054231</v>
      </c>
      <c r="T29" s="198">
        <f t="shared" si="9"/>
        <v>1.8264483659853672</v>
      </c>
      <c r="U29" s="198">
        <f t="shared" si="9"/>
        <v>1.9258501637954675</v>
      </c>
      <c r="V29" s="198">
        <f t="shared" si="9"/>
        <v>1.9171542582105678</v>
      </c>
      <c r="W29" s="198">
        <f t="shared" si="9"/>
        <v>1.9088594609448712</v>
      </c>
      <c r="X29" s="198">
        <f t="shared" si="9"/>
        <v>1.900949266026313</v>
      </c>
      <c r="Y29" s="198">
        <f t="shared" si="9"/>
        <v>1.8934078349660124</v>
      </c>
      <c r="Z29" s="198">
        <f t="shared" si="9"/>
        <v>1.8862199706322855</v>
      </c>
      <c r="AA29" s="198">
        <f t="shared" si="9"/>
        <v>1.8793710921303983</v>
      </c>
      <c r="AB29" s="198">
        <f t="shared" si="9"/>
        <v>1.8728472106499396</v>
      </c>
      <c r="AC29" s="198">
        <f t="shared" si="9"/>
        <v>1.8666349062431362</v>
      </c>
      <c r="AD29" s="198">
        <f t="shared" si="9"/>
        <v>1.8607213054987859</v>
      </c>
      <c r="AE29" s="198">
        <f t="shared" si="9"/>
        <v>1.8550940600778349</v>
      </c>
      <c r="AF29" s="198">
        <f t="shared" si="9"/>
        <v>1.8497413260778772</v>
      </c>
      <c r="AG29" s="198">
        <f t="shared" si="9"/>
        <v>1.8446517441950951</v>
      </c>
      <c r="AH29" s="198">
        <f t="shared" si="9"/>
        <v>1.8398144206533409</v>
      </c>
      <c r="AI29" s="198">
        <f t="shared" si="9"/>
        <v>1.8352189088711846</v>
      </c>
      <c r="AJ29" s="198">
        <f t="shared" si="9"/>
        <v>1.8308551918388754</v>
      </c>
      <c r="AK29" s="198">
        <f t="shared" si="9"/>
        <v>1.8267136651781832</v>
      </c>
      <c r="AL29" s="198">
        <f t="shared" si="9"/>
        <v>1.8227851208591384</v>
      </c>
      <c r="AM29" s="198">
        <f t="shared" si="9"/>
        <v>1.8190607315486409</v>
      </c>
      <c r="AN29" s="198">
        <f t="shared" si="9"/>
        <v>1.8155320355668589</v>
      </c>
      <c r="AO29" s="198">
        <f t="shared" si="9"/>
        <v>1.81219092242825</v>
      </c>
      <c r="AP29" s="198">
        <f t="shared" si="9"/>
        <v>1.8090296189449007</v>
      </c>
      <c r="AQ29" s="198">
        <f t="shared" si="9"/>
        <v>1.8060406758707266</v>
      </c>
    </row>
    <row r="30" spans="2:43" x14ac:dyDescent="0.35">
      <c r="B30" s="200" t="s">
        <v>158</v>
      </c>
      <c r="E30" s="136">
        <f>E22/E26*2</f>
        <v>2.7562356325563866</v>
      </c>
      <c r="G30" s="135">
        <f>G22/G26*2</f>
        <v>2.7562356325563866</v>
      </c>
      <c r="H30" s="66"/>
      <c r="I30" s="66">
        <f t="shared" ref="I30:AQ30" si="10">I22/I26*2</f>
        <v>3.0201596946043598</v>
      </c>
      <c r="J30" s="66">
        <f t="shared" si="10"/>
        <v>3.2235245859401802</v>
      </c>
      <c r="K30" s="66">
        <f t="shared" si="10"/>
        <v>3.2459614548950966</v>
      </c>
      <c r="L30" s="66">
        <f t="shared" si="10"/>
        <v>3.3119870306518169</v>
      </c>
      <c r="M30" s="66">
        <f t="shared" si="10"/>
        <v>3.4108829400471437</v>
      </c>
      <c r="N30" s="66">
        <f t="shared" si="10"/>
        <v>3.4260911342014486</v>
      </c>
      <c r="O30" s="66">
        <f t="shared" si="10"/>
        <v>3.4260911342014486</v>
      </c>
      <c r="P30" s="66">
        <f t="shared" si="10"/>
        <v>3.4260911342014491</v>
      </c>
      <c r="Q30" s="66">
        <f t="shared" si="10"/>
        <v>3.4260911342014486</v>
      </c>
      <c r="R30" s="66">
        <f t="shared" si="10"/>
        <v>3.4260911342014491</v>
      </c>
      <c r="S30" s="66">
        <f t="shared" si="10"/>
        <v>3.4260911342014491</v>
      </c>
      <c r="T30" s="66">
        <f t="shared" si="10"/>
        <v>3.4260911342014486</v>
      </c>
      <c r="U30" s="66">
        <f t="shared" si="10"/>
        <v>3.4260911342014486</v>
      </c>
      <c r="V30" s="66">
        <f t="shared" si="10"/>
        <v>3.4260911342014486</v>
      </c>
      <c r="W30" s="66">
        <f t="shared" si="10"/>
        <v>3.4260911342014482</v>
      </c>
      <c r="X30" s="66">
        <f t="shared" si="10"/>
        <v>3.4260911342014482</v>
      </c>
      <c r="Y30" s="66">
        <f t="shared" si="10"/>
        <v>3.4260911342014482</v>
      </c>
      <c r="Z30" s="66">
        <f t="shared" si="10"/>
        <v>3.4260911342014477</v>
      </c>
      <c r="AA30" s="66">
        <f t="shared" si="10"/>
        <v>3.4260911342014477</v>
      </c>
      <c r="AB30" s="66">
        <f t="shared" si="10"/>
        <v>3.4260911342014482</v>
      </c>
      <c r="AC30" s="66">
        <f t="shared" si="10"/>
        <v>3.4260911342014477</v>
      </c>
      <c r="AD30" s="66">
        <f t="shared" si="10"/>
        <v>3.4260911342014477</v>
      </c>
      <c r="AE30" s="66">
        <f t="shared" si="10"/>
        <v>3.4260911342014482</v>
      </c>
      <c r="AF30" s="66">
        <f t="shared" si="10"/>
        <v>3.4260911342014482</v>
      </c>
      <c r="AG30" s="66">
        <f t="shared" si="10"/>
        <v>3.4260911342014477</v>
      </c>
      <c r="AH30" s="66">
        <f t="shared" si="10"/>
        <v>3.4260911342014477</v>
      </c>
      <c r="AI30" s="66">
        <f t="shared" si="10"/>
        <v>3.4260911342014477</v>
      </c>
      <c r="AJ30" s="66">
        <f t="shared" si="10"/>
        <v>3.4260911342014473</v>
      </c>
      <c r="AK30" s="66">
        <f t="shared" si="10"/>
        <v>3.4260911342014477</v>
      </c>
      <c r="AL30" s="66">
        <f t="shared" si="10"/>
        <v>3.4260911342014473</v>
      </c>
      <c r="AM30" s="66">
        <f t="shared" si="10"/>
        <v>3.4260911342014477</v>
      </c>
      <c r="AN30" s="66">
        <f t="shared" si="10"/>
        <v>3.4260911342014473</v>
      </c>
      <c r="AO30" s="66">
        <f t="shared" si="10"/>
        <v>3.4260911342014473</v>
      </c>
      <c r="AP30" s="66">
        <f t="shared" si="10"/>
        <v>3.4260911342014477</v>
      </c>
      <c r="AQ30" s="66">
        <f t="shared" si="10"/>
        <v>3.4260911342014468</v>
      </c>
    </row>
    <row r="31" spans="2:43" x14ac:dyDescent="0.35">
      <c r="B31" s="200" t="s">
        <v>159</v>
      </c>
      <c r="E31" s="136">
        <f>(E22+(E16/E20))/E26*2</f>
        <v>2.7562356325563866</v>
      </c>
      <c r="G31" s="135">
        <f>((((G9/G12)+((G9*G11)))/G20)+G22)/G26*2</f>
        <v>3.5530862838944186</v>
      </c>
      <c r="H31" s="66"/>
      <c r="I31" s="136">
        <f>(I22+(I16/I20))/I26*2</f>
        <v>3.0201596946043598</v>
      </c>
      <c r="J31" s="136">
        <f>(J22+(J16/J20))/J26*2</f>
        <v>3.2235245859401802</v>
      </c>
      <c r="K31" s="136">
        <f>(K22+(K16/K20))/K26*2</f>
        <v>3.2459614548950966</v>
      </c>
      <c r="L31" s="136">
        <f>(L22+(L16/L20))/L26*2</f>
        <v>3.3119870306518169</v>
      </c>
      <c r="M31" s="136">
        <f>(M22+(M16/M20))/M26*2</f>
        <v>3.9582021057772403</v>
      </c>
      <c r="N31" s="136">
        <f t="shared" ref="N31:AQ31" si="11">(N22+(N16/N20))/N26*2</f>
        <v>3.9735624354493959</v>
      </c>
      <c r="O31" s="136">
        <f t="shared" si="11"/>
        <v>3.973078394443839</v>
      </c>
      <c r="P31" s="136">
        <f t="shared" si="11"/>
        <v>3.9720010293717452</v>
      </c>
      <c r="Q31" s="136">
        <f t="shared" si="11"/>
        <v>3.970371021956236</v>
      </c>
      <c r="R31" s="136">
        <f t="shared" si="11"/>
        <v>3.9845199937967259</v>
      </c>
      <c r="S31" s="136">
        <f t="shared" si="11"/>
        <v>3.9566100838376057</v>
      </c>
      <c r="T31" s="136">
        <f t="shared" si="11"/>
        <v>3.9299492089771202</v>
      </c>
      <c r="U31" s="136">
        <f t="shared" si="11"/>
        <v>3.9044848098059974</v>
      </c>
      <c r="V31" s="136">
        <f t="shared" si="11"/>
        <v>3.8801664533227767</v>
      </c>
      <c r="W31" s="136">
        <f t="shared" si="11"/>
        <v>3.8569457492231289</v>
      </c>
      <c r="X31" s="136">
        <f t="shared" si="11"/>
        <v>3.8347762694191205</v>
      </c>
      <c r="Y31" s="136">
        <f t="shared" si="11"/>
        <v>3.8136134706656839</v>
      </c>
      <c r="Z31" s="136">
        <f t="shared" si="11"/>
        <v>3.7934146201761934</v>
      </c>
      <c r="AA31" s="136">
        <f t="shared" si="11"/>
        <v>3.7741387241134512</v>
      </c>
      <c r="AB31" s="136">
        <f t="shared" si="11"/>
        <v>3.7557464588466929</v>
      </c>
      <c r="AC31" s="136">
        <f t="shared" si="11"/>
        <v>3.7382001048692839</v>
      </c>
      <c r="AD31" s="136">
        <f t="shared" si="11"/>
        <v>3.7214634832758042</v>
      </c>
      <c r="AE31" s="136">
        <f t="shared" si="11"/>
        <v>3.705501894700951</v>
      </c>
      <c r="AF31" s="136">
        <f t="shared" si="11"/>
        <v>3.6902820606264433</v>
      </c>
      <c r="AG31" s="136">
        <f t="shared" si="11"/>
        <v>3.6757720669655609</v>
      </c>
      <c r="AH31" s="136">
        <f t="shared" si="11"/>
        <v>3.6619413098384235</v>
      </c>
      <c r="AI31" s="136">
        <f t="shared" si="11"/>
        <v>3.6487604434543361</v>
      </c>
      <c r="AJ31" s="136">
        <f t="shared" si="11"/>
        <v>3.6362013300207234</v>
      </c>
      <c r="AK31" s="136">
        <f t="shared" si="11"/>
        <v>3.6242369916011659</v>
      </c>
      <c r="AL31" s="136">
        <f t="shared" si="11"/>
        <v>3.6128415638480114</v>
      </c>
      <c r="AM31" s="136">
        <f t="shared" si="11"/>
        <v>3.601990251537833</v>
      </c>
      <c r="AN31" s="136">
        <f t="shared" si="11"/>
        <v>3.5916592858406955</v>
      </c>
      <c r="AO31" s="136">
        <f t="shared" si="11"/>
        <v>3.5818258832568355</v>
      </c>
      <c r="AP31" s="136">
        <f t="shared" si="11"/>
        <v>3.5724682061568314</v>
      </c>
      <c r="AQ31" s="136">
        <f t="shared" si="11"/>
        <v>3.5635653248637778</v>
      </c>
    </row>
    <row r="32" spans="2:43" x14ac:dyDescent="0.35">
      <c r="B32" s="200"/>
      <c r="E32" s="136"/>
      <c r="G32" s="135"/>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row>
    <row r="33" spans="1:43" hidden="1" x14ac:dyDescent="0.35">
      <c r="G33" s="208"/>
      <c r="H33" s="208"/>
      <c r="I33" s="106"/>
      <c r="J33" s="106"/>
      <c r="K33" s="106"/>
      <c r="L33" s="106"/>
      <c r="M33" s="106"/>
      <c r="N33" s="106"/>
      <c r="O33" s="106"/>
    </row>
    <row r="34" spans="1:43" hidden="1" x14ac:dyDescent="0.35">
      <c r="A34" s="27" t="s">
        <v>75</v>
      </c>
      <c r="C34" s="43"/>
      <c r="E34" s="41"/>
      <c r="G34" s="84" t="s">
        <v>128</v>
      </c>
      <c r="H34" s="55"/>
      <c r="I34" s="107"/>
      <c r="J34" s="107"/>
      <c r="K34" s="107"/>
      <c r="L34" s="107"/>
      <c r="M34" s="107"/>
      <c r="N34" s="107"/>
      <c r="O34" s="107"/>
      <c r="P34" s="107"/>
      <c r="Q34" s="107"/>
      <c r="R34" s="107"/>
    </row>
    <row r="35" spans="1:43" hidden="1" x14ac:dyDescent="0.35">
      <c r="B35" s="200" t="s">
        <v>71</v>
      </c>
      <c r="G35" s="65">
        <v>1</v>
      </c>
      <c r="H35" s="65"/>
      <c r="I35" s="65">
        <v>1</v>
      </c>
      <c r="J35" s="65">
        <v>1</v>
      </c>
      <c r="K35" s="65">
        <v>1</v>
      </c>
      <c r="L35" s="65">
        <v>1</v>
      </c>
      <c r="M35" s="65">
        <v>1</v>
      </c>
      <c r="N35" s="65">
        <v>1</v>
      </c>
      <c r="O35" s="65">
        <v>1</v>
      </c>
      <c r="P35" s="65">
        <v>1</v>
      </c>
      <c r="Q35" s="65">
        <v>1</v>
      </c>
      <c r="R35" s="65">
        <v>1</v>
      </c>
      <c r="S35" s="65">
        <v>1</v>
      </c>
      <c r="T35" s="65">
        <v>1</v>
      </c>
      <c r="U35" s="65">
        <v>1</v>
      </c>
      <c r="V35" s="65">
        <v>1</v>
      </c>
      <c r="W35" s="65">
        <v>1</v>
      </c>
      <c r="X35" s="65">
        <v>1</v>
      </c>
      <c r="Y35" s="65">
        <v>1</v>
      </c>
      <c r="Z35" s="65">
        <v>1</v>
      </c>
      <c r="AA35" s="65">
        <v>1</v>
      </c>
      <c r="AB35" s="65">
        <v>1</v>
      </c>
      <c r="AC35" s="65">
        <v>1</v>
      </c>
      <c r="AD35" s="65">
        <v>1</v>
      </c>
      <c r="AE35" s="65">
        <v>1</v>
      </c>
      <c r="AF35" s="65">
        <v>1</v>
      </c>
      <c r="AG35" s="65">
        <v>1</v>
      </c>
      <c r="AH35" s="65">
        <v>1</v>
      </c>
      <c r="AI35" s="65">
        <v>1</v>
      </c>
      <c r="AJ35" s="65">
        <v>1</v>
      </c>
      <c r="AK35" s="65">
        <v>1</v>
      </c>
      <c r="AL35" s="65">
        <v>1</v>
      </c>
      <c r="AM35" s="65">
        <v>1</v>
      </c>
      <c r="AN35" s="65">
        <v>1</v>
      </c>
      <c r="AO35" s="65">
        <v>1</v>
      </c>
      <c r="AP35" s="65">
        <v>1</v>
      </c>
      <c r="AQ35" s="65">
        <v>1</v>
      </c>
    </row>
    <row r="36" spans="1:43" hidden="1" x14ac:dyDescent="0.35">
      <c r="B36" s="200" t="s">
        <v>164</v>
      </c>
      <c r="E36" s="137"/>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row>
    <row r="37" spans="1:43" hidden="1" x14ac:dyDescent="0.35">
      <c r="B37" s="200" t="s">
        <v>163</v>
      </c>
      <c r="E37" s="137"/>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row>
    <row r="38" spans="1:43" hidden="1" x14ac:dyDescent="0.35">
      <c r="B38" s="200" t="s">
        <v>165</v>
      </c>
      <c r="E38" s="137"/>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row>
    <row r="39" spans="1:43" hidden="1" x14ac:dyDescent="0.35">
      <c r="B39" s="200" t="s">
        <v>166</v>
      </c>
      <c r="E39" s="137"/>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row>
    <row r="40" spans="1:43" hidden="1" x14ac:dyDescent="0.35">
      <c r="B40" s="200" t="s">
        <v>167</v>
      </c>
      <c r="E40" s="137"/>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row>
    <row r="41" spans="1:43" hidden="1" x14ac:dyDescent="0.35">
      <c r="B41" s="200" t="s">
        <v>168</v>
      </c>
      <c r="E41" s="137"/>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row>
    <row r="42" spans="1:43" hidden="1" x14ac:dyDescent="0.35">
      <c r="B42" s="200" t="s">
        <v>169</v>
      </c>
      <c r="E42" s="137"/>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row>
    <row r="43" spans="1:43" hidden="1" x14ac:dyDescent="0.35">
      <c r="B43" s="200" t="s">
        <v>154</v>
      </c>
      <c r="G43" s="66">
        <f>G27/G35</f>
        <v>1.3848403422112578</v>
      </c>
      <c r="H43" s="66"/>
      <c r="I43" s="66">
        <f t="shared" ref="I43:AQ43" si="12">I27/I35</f>
        <v>1.5222996272224472</v>
      </c>
      <c r="J43" s="66">
        <f t="shared" si="12"/>
        <v>1.6196245480577491</v>
      </c>
      <c r="K43" s="66">
        <f t="shared" si="12"/>
        <v>1.630897706605829</v>
      </c>
      <c r="L43" s="66">
        <f t="shared" si="12"/>
        <v>1.6640715324738398</v>
      </c>
      <c r="M43" s="66">
        <f t="shared" si="12"/>
        <v>1.7137606967066137</v>
      </c>
      <c r="N43" s="66">
        <f t="shared" si="12"/>
        <v>1.7214018869402401</v>
      </c>
      <c r="O43" s="66">
        <f t="shared" si="12"/>
        <v>1.7214018869402401</v>
      </c>
      <c r="P43" s="66">
        <f t="shared" si="12"/>
        <v>1.7214018869402403</v>
      </c>
      <c r="Q43" s="66">
        <f t="shared" si="12"/>
        <v>1.7214018869402401</v>
      </c>
      <c r="R43" s="66">
        <f t="shared" si="12"/>
        <v>1.7214018869402405</v>
      </c>
      <c r="S43" s="66">
        <f t="shared" si="12"/>
        <v>1.7214018869402403</v>
      </c>
      <c r="T43" s="66">
        <f t="shared" si="12"/>
        <v>1.7214018869402401</v>
      </c>
      <c r="U43" s="66">
        <f t="shared" si="12"/>
        <v>1.7214018869402401</v>
      </c>
      <c r="V43" s="66">
        <f t="shared" si="12"/>
        <v>1.7214018869402401</v>
      </c>
      <c r="W43" s="66">
        <f t="shared" si="12"/>
        <v>1.7214018869402399</v>
      </c>
      <c r="X43" s="66">
        <f t="shared" si="12"/>
        <v>1.7214018869402397</v>
      </c>
      <c r="Y43" s="66">
        <f t="shared" si="12"/>
        <v>1.7214018869402397</v>
      </c>
      <c r="Z43" s="66">
        <f t="shared" si="12"/>
        <v>1.7214018869402394</v>
      </c>
      <c r="AA43" s="66">
        <f t="shared" si="12"/>
        <v>1.7214018869402397</v>
      </c>
      <c r="AB43" s="66">
        <f t="shared" si="12"/>
        <v>1.7214018869402397</v>
      </c>
      <c r="AC43" s="66">
        <f t="shared" si="12"/>
        <v>1.7214018869402394</v>
      </c>
      <c r="AD43" s="66">
        <f t="shared" si="12"/>
        <v>1.7214018869402392</v>
      </c>
      <c r="AE43" s="66">
        <f t="shared" si="12"/>
        <v>1.7214018869402392</v>
      </c>
      <c r="AF43" s="66">
        <f t="shared" si="12"/>
        <v>1.7214018869402392</v>
      </c>
      <c r="AG43" s="66">
        <f t="shared" si="12"/>
        <v>1.721401886940239</v>
      </c>
      <c r="AH43" s="66">
        <f t="shared" si="12"/>
        <v>1.7214018869402392</v>
      </c>
      <c r="AI43" s="66">
        <f t="shared" si="12"/>
        <v>1.7214018869402392</v>
      </c>
      <c r="AJ43" s="66">
        <f t="shared" si="12"/>
        <v>1.7214018869402392</v>
      </c>
      <c r="AK43" s="66">
        <f t="shared" si="12"/>
        <v>1.7214018869402394</v>
      </c>
      <c r="AL43" s="66">
        <f t="shared" si="12"/>
        <v>1.7214018869402392</v>
      </c>
      <c r="AM43" s="66">
        <f t="shared" si="12"/>
        <v>1.7214018869402394</v>
      </c>
      <c r="AN43" s="66">
        <f t="shared" si="12"/>
        <v>1.7214018869402394</v>
      </c>
      <c r="AO43" s="66">
        <f t="shared" si="12"/>
        <v>1.7214018869402392</v>
      </c>
      <c r="AP43" s="66">
        <f t="shared" si="12"/>
        <v>1.7214018869402394</v>
      </c>
      <c r="AQ43" s="66">
        <f t="shared" si="12"/>
        <v>1.7214018869402392</v>
      </c>
    </row>
    <row r="44" spans="1:43" hidden="1" x14ac:dyDescent="0.35">
      <c r="B44" s="200" t="s">
        <v>155</v>
      </c>
      <c r="G44" s="66">
        <f>G28/G35</f>
        <v>1.3848403422112578</v>
      </c>
      <c r="H44" s="66"/>
      <c r="I44" s="66">
        <f t="shared" ref="I44:AQ44" si="13">I28/I35</f>
        <v>1.5222996272224472</v>
      </c>
      <c r="J44" s="66">
        <f t="shared" si="13"/>
        <v>1.6196245480577491</v>
      </c>
      <c r="K44" s="66">
        <f t="shared" si="13"/>
        <v>1.630897706605829</v>
      </c>
      <c r="L44" s="66">
        <f t="shared" si="13"/>
        <v>1.6640715324738398</v>
      </c>
      <c r="M44" s="66">
        <f t="shared" si="13"/>
        <v>1.9887552043661256</v>
      </c>
      <c r="N44" s="66">
        <f t="shared" si="13"/>
        <v>1.9964728334209159</v>
      </c>
      <c r="O44" s="66">
        <f t="shared" si="13"/>
        <v>1.9962296323303192</v>
      </c>
      <c r="P44" s="66">
        <f t="shared" si="13"/>
        <v>1.9956883220745842</v>
      </c>
      <c r="Q44" s="66">
        <f t="shared" si="13"/>
        <v>1.9948693427389872</v>
      </c>
      <c r="R44" s="66">
        <f t="shared" si="13"/>
        <v>2.0019783383466478</v>
      </c>
      <c r="S44" s="66">
        <f t="shared" si="13"/>
        <v>1.987955310415968</v>
      </c>
      <c r="T44" s="66">
        <f t="shared" si="13"/>
        <v>1.9745598464616751</v>
      </c>
      <c r="U44" s="66">
        <f t="shared" si="13"/>
        <v>1.9617655385854524</v>
      </c>
      <c r="V44" s="66">
        <f t="shared" si="13"/>
        <v>1.9495470472792487</v>
      </c>
      <c r="W44" s="66">
        <f t="shared" si="13"/>
        <v>1.9378800593657672</v>
      </c>
      <c r="X44" s="66">
        <f t="shared" si="13"/>
        <v>1.9267412475618018</v>
      </c>
      <c r="Y44" s="66">
        <f t="shared" si="13"/>
        <v>1.916108231602758</v>
      </c>
      <c r="Z44" s="66">
        <f t="shared" si="13"/>
        <v>1.905959540869014</v>
      </c>
      <c r="AA44" s="66">
        <f t="shared" si="13"/>
        <v>1.8962745784570021</v>
      </c>
      <c r="AB44" s="66">
        <f t="shared" si="13"/>
        <v>1.8870335866400456</v>
      </c>
      <c r="AC44" s="66">
        <f t="shared" si="13"/>
        <v>1.8782176136660302</v>
      </c>
      <c r="AD44" s="66">
        <f t="shared" si="13"/>
        <v>1.8698084818410132</v>
      </c>
      <c r="AE44" s="66">
        <f t="shared" si="13"/>
        <v>1.8617887568497455</v>
      </c>
      <c r="AF44" s="66">
        <f t="shared" si="13"/>
        <v>1.8541417182659683</v>
      </c>
      <c r="AG44" s="66">
        <f t="shared" si="13"/>
        <v>1.846851331207086</v>
      </c>
      <c r="AH44" s="66">
        <f t="shared" si="13"/>
        <v>1.8399022190895487</v>
      </c>
      <c r="AI44" s="66">
        <f t="shared" si="13"/>
        <v>1.8332796374429099</v>
      </c>
      <c r="AJ44" s="66">
        <f t="shared" si="13"/>
        <v>1.8269694487421193</v>
      </c>
      <c r="AK44" s="66">
        <f t="shared" si="13"/>
        <v>1.820958098219122</v>
      </c>
      <c r="AL44" s="66">
        <f t="shared" si="13"/>
        <v>1.8152325906163178</v>
      </c>
      <c r="AM44" s="66">
        <f t="shared" si="13"/>
        <v>1.809780467845838</v>
      </c>
      <c r="AN44" s="66">
        <f t="shared" si="13"/>
        <v>1.8045897875199592</v>
      </c>
      <c r="AO44" s="66">
        <f t="shared" si="13"/>
        <v>1.799649102319288</v>
      </c>
      <c r="AP44" s="66">
        <f t="shared" si="13"/>
        <v>1.7949474401666028</v>
      </c>
      <c r="AQ44" s="66">
        <f t="shared" si="13"/>
        <v>1.7904742851754591</v>
      </c>
    </row>
    <row r="45" spans="1:43" hidden="1" x14ac:dyDescent="0.35">
      <c r="B45" s="200" t="s">
        <v>170</v>
      </c>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row>
    <row r="46" spans="1:43" hidden="1" x14ac:dyDescent="0.35">
      <c r="B46" s="200" t="s">
        <v>171</v>
      </c>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1:43" hidden="1" x14ac:dyDescent="0.35">
      <c r="G47" s="56"/>
      <c r="H47" s="56"/>
      <c r="I47" s="108"/>
      <c r="J47" s="108"/>
      <c r="K47" s="108"/>
      <c r="L47" s="108"/>
      <c r="M47" s="108"/>
      <c r="N47" s="108"/>
      <c r="O47" s="108"/>
      <c r="P47" s="108"/>
      <c r="Q47" s="108"/>
      <c r="R47" s="108"/>
    </row>
    <row r="48" spans="1:43" x14ac:dyDescent="0.35">
      <c r="A48" s="42" t="s">
        <v>73</v>
      </c>
      <c r="G48" s="56"/>
      <c r="H48" s="56"/>
      <c r="I48" s="108"/>
      <c r="J48" s="108"/>
      <c r="K48" s="108"/>
      <c r="L48" s="108"/>
      <c r="M48" s="108"/>
      <c r="N48" s="108"/>
      <c r="O48" s="108"/>
      <c r="P48" s="108"/>
      <c r="Q48" s="108"/>
      <c r="R48" s="108"/>
    </row>
    <row r="49" spans="1:43" x14ac:dyDescent="0.35">
      <c r="B49" s="27" t="s">
        <v>64</v>
      </c>
      <c r="E49" s="217">
        <f>'Individual Taxpayer Impact'!L5</f>
        <v>88000</v>
      </c>
      <c r="F49" s="54"/>
      <c r="G49" s="57">
        <f>E49</f>
        <v>88000</v>
      </c>
      <c r="H49" s="57"/>
      <c r="I49" s="109">
        <f>'Home Value'!K11</f>
        <v>88000</v>
      </c>
      <c r="J49" s="109">
        <f>'Home Value'!K13</f>
        <v>88000</v>
      </c>
      <c r="K49" s="109">
        <f>'Home Value'!K15</f>
        <v>88000</v>
      </c>
      <c r="L49" s="109">
        <f>'Home Value'!K17</f>
        <v>88000</v>
      </c>
      <c r="M49" s="109">
        <f>'Home Value'!K19</f>
        <v>88000</v>
      </c>
      <c r="N49" s="109">
        <f>'Home Value'!K21</f>
        <v>88000</v>
      </c>
      <c r="O49" s="109">
        <f>'Home Value'!K23</f>
        <v>88000</v>
      </c>
      <c r="P49" s="109">
        <f>'Home Value'!K25</f>
        <v>88000</v>
      </c>
      <c r="Q49" s="109">
        <f>'Home Value'!K27</f>
        <v>88000</v>
      </c>
      <c r="R49" s="109">
        <f>'Home Value'!K29</f>
        <v>88000</v>
      </c>
      <c r="S49" s="109">
        <f>'Home Value'!K31</f>
        <v>88000</v>
      </c>
      <c r="T49" s="109">
        <f>'Home Value'!K33</f>
        <v>88000</v>
      </c>
      <c r="U49" s="109">
        <f>'Home Value'!K35</f>
        <v>88000</v>
      </c>
      <c r="V49" s="109">
        <f>'Home Value'!K37</f>
        <v>88000</v>
      </c>
      <c r="W49" s="109">
        <f>'Home Value'!K39</f>
        <v>88000</v>
      </c>
      <c r="X49" s="109">
        <f>'Home Value'!K41</f>
        <v>88000</v>
      </c>
      <c r="Y49" s="109">
        <f>'Home Value'!K43</f>
        <v>88000</v>
      </c>
      <c r="Z49" s="109">
        <f>'Home Value'!K45</f>
        <v>88000</v>
      </c>
      <c r="AA49" s="109">
        <f>'Home Value'!K47</f>
        <v>88000</v>
      </c>
      <c r="AB49" s="109">
        <f>'Home Value'!K49</f>
        <v>88000</v>
      </c>
      <c r="AC49" s="109">
        <f>'Home Value'!K51</f>
        <v>88000</v>
      </c>
      <c r="AD49" s="109">
        <f>'Home Value'!K53</f>
        <v>88000</v>
      </c>
      <c r="AE49" s="109">
        <f>'Home Value'!K55</f>
        <v>88000</v>
      </c>
      <c r="AF49" s="109">
        <f>'Home Value'!K57</f>
        <v>88000</v>
      </c>
      <c r="AG49" s="109">
        <f>'Home Value'!K59</f>
        <v>88000</v>
      </c>
      <c r="AH49" s="109">
        <f>'Home Value'!K61</f>
        <v>88000</v>
      </c>
      <c r="AI49" s="109">
        <f>'Home Value'!K63</f>
        <v>88000</v>
      </c>
      <c r="AJ49" s="109">
        <f>'Home Value'!K65</f>
        <v>88000</v>
      </c>
      <c r="AK49" s="109">
        <f>'Home Value'!K67</f>
        <v>88000</v>
      </c>
      <c r="AL49" s="109">
        <f>'Home Value'!K69</f>
        <v>88000</v>
      </c>
      <c r="AM49" s="109">
        <f>'Home Value'!K71</f>
        <v>88000</v>
      </c>
      <c r="AN49" s="109">
        <f>'Home Value'!K73</f>
        <v>88000</v>
      </c>
      <c r="AO49" s="109">
        <f>'Home Value'!K75</f>
        <v>88000</v>
      </c>
      <c r="AP49" s="109">
        <f>'Home Value'!K77</f>
        <v>88000</v>
      </c>
      <c r="AQ49" s="109">
        <f>'Home Value'!K79</f>
        <v>88000</v>
      </c>
    </row>
    <row r="50" spans="1:43" x14ac:dyDescent="0.35">
      <c r="B50" s="27" t="s">
        <v>65</v>
      </c>
      <c r="E50" s="217">
        <f>'Individual Taxpayer Impact'!L4</f>
        <v>549882.16810683429</v>
      </c>
      <c r="F50" s="54"/>
      <c r="G50" s="57">
        <f>E50</f>
        <v>549882.16810683429</v>
      </c>
      <c r="H50" s="57"/>
      <c r="I50" s="109">
        <f>'Home Value'!I11</f>
        <v>549882.16810683429</v>
      </c>
      <c r="J50" s="109">
        <f>'Home Value'!I13</f>
        <v>549882.16810683429</v>
      </c>
      <c r="K50" s="109">
        <f>'Home Value'!I15</f>
        <v>549882.16810683429</v>
      </c>
      <c r="L50" s="109">
        <f>'Home Value'!I17</f>
        <v>549882.16810683429</v>
      </c>
      <c r="M50" s="109">
        <f>'Home Value'!I19</f>
        <v>549882.16810683429</v>
      </c>
      <c r="N50" s="109">
        <f>'Home Value'!I21</f>
        <v>549882.16810683429</v>
      </c>
      <c r="O50" s="109">
        <f>'Home Value'!I23</f>
        <v>549882.16810683429</v>
      </c>
      <c r="P50" s="109">
        <f>'Home Value'!I25</f>
        <v>549882.16810683429</v>
      </c>
      <c r="Q50" s="109">
        <f>'Home Value'!I27</f>
        <v>549882.16810683429</v>
      </c>
      <c r="R50" s="109">
        <f>'Home Value'!I29</f>
        <v>549882.16810683429</v>
      </c>
      <c r="S50" s="109">
        <f>'Home Value'!I31</f>
        <v>549882.16810683429</v>
      </c>
      <c r="T50" s="109">
        <f>'Home Value'!I33</f>
        <v>549882.16810683429</v>
      </c>
      <c r="U50" s="109">
        <f>'Home Value'!I35</f>
        <v>549882.16810683429</v>
      </c>
      <c r="V50" s="109">
        <f>'Home Value'!I37</f>
        <v>549882.16810683429</v>
      </c>
      <c r="W50" s="109">
        <f>'Home Value'!I39</f>
        <v>549882.16810683429</v>
      </c>
      <c r="X50" s="109">
        <f>'Home Value'!I41</f>
        <v>549882.16810683429</v>
      </c>
      <c r="Y50" s="109">
        <f>'Home Value'!I43</f>
        <v>549882.16810683429</v>
      </c>
      <c r="Z50" s="109">
        <f>'Home Value'!I45</f>
        <v>549882.16810683429</v>
      </c>
      <c r="AA50" s="109">
        <f>'Home Value'!I47</f>
        <v>549882.16810683429</v>
      </c>
      <c r="AB50" s="109">
        <f>'Home Value'!I49</f>
        <v>549882.16810683429</v>
      </c>
      <c r="AC50" s="109">
        <f>'Home Value'!I51</f>
        <v>549882.16810683429</v>
      </c>
      <c r="AD50" s="109">
        <f>'Home Value'!I53</f>
        <v>549882.16810683429</v>
      </c>
      <c r="AE50" s="109">
        <f>'Home Value'!I55</f>
        <v>549882.16810683429</v>
      </c>
      <c r="AF50" s="109">
        <f>'Home Value'!I57</f>
        <v>549882.16810683429</v>
      </c>
      <c r="AG50" s="109">
        <f>'Home Value'!I59</f>
        <v>549882.16810683429</v>
      </c>
      <c r="AH50" s="109">
        <f>'Home Value'!I61</f>
        <v>549882.16810683429</v>
      </c>
      <c r="AI50" s="109">
        <f>'Home Value'!I63</f>
        <v>549882.16810683429</v>
      </c>
      <c r="AJ50" s="109">
        <f>'Home Value'!I65</f>
        <v>549882.16810683429</v>
      </c>
      <c r="AK50" s="109">
        <f>'Home Value'!I67</f>
        <v>549882.16810683429</v>
      </c>
      <c r="AL50" s="109">
        <f>'Home Value'!I69</f>
        <v>549882.16810683429</v>
      </c>
      <c r="AM50" s="109">
        <f>'Home Value'!I71</f>
        <v>549882.16810683429</v>
      </c>
      <c r="AN50" s="109">
        <f>'Home Value'!I73</f>
        <v>549882.16810683429</v>
      </c>
      <c r="AO50" s="109">
        <f>'Home Value'!I75</f>
        <v>549882.16810683429</v>
      </c>
      <c r="AP50" s="109">
        <f>'Home Value'!I77</f>
        <v>549882.16810683429</v>
      </c>
      <c r="AQ50" s="109">
        <f>'Home Value'!I79</f>
        <v>549882.16810683429</v>
      </c>
    </row>
    <row r="51" spans="1:43" x14ac:dyDescent="0.35">
      <c r="B51" s="27" t="s">
        <v>146</v>
      </c>
      <c r="E51" s="216"/>
      <c r="G51" s="58">
        <f>IF(G76&gt;0, G111, G64)</f>
        <v>4501.1160863739569</v>
      </c>
      <c r="H51" s="58"/>
      <c r="I51" s="58">
        <f t="shared" ref="I51:AQ52" si="14">IF(I76&gt;0, I111, I64)</f>
        <v>4939.3962176150962</v>
      </c>
      <c r="J51" s="58">
        <f t="shared" si="14"/>
        <v>5264.2300234468294</v>
      </c>
      <c r="K51" s="58">
        <f t="shared" si="14"/>
        <v>5300.8709225731391</v>
      </c>
      <c r="L51" s="58">
        <f t="shared" si="14"/>
        <v>5408.6950786940124</v>
      </c>
      <c r="M51" s="58">
        <f t="shared" si="14"/>
        <v>5570.1986756281476</v>
      </c>
      <c r="N51" s="58">
        <f t="shared" si="14"/>
        <v>5595.0346680752627</v>
      </c>
      <c r="O51" s="58">
        <f t="shared" si="14"/>
        <v>5595.0346680752627</v>
      </c>
      <c r="P51" s="58">
        <f t="shared" si="14"/>
        <v>5595.0346680752627</v>
      </c>
      <c r="Q51" s="58">
        <f t="shared" si="14"/>
        <v>5595.0346680752627</v>
      </c>
      <c r="R51" s="58">
        <f t="shared" si="14"/>
        <v>5595.0346680752637</v>
      </c>
      <c r="S51" s="58">
        <f t="shared" si="14"/>
        <v>5595.0346680752627</v>
      </c>
      <c r="T51" s="58">
        <f t="shared" si="14"/>
        <v>5595.0346680752627</v>
      </c>
      <c r="U51" s="58">
        <f t="shared" si="14"/>
        <v>5595.0346680752627</v>
      </c>
      <c r="V51" s="58">
        <f t="shared" si="14"/>
        <v>5595.0346680752627</v>
      </c>
      <c r="W51" s="58">
        <f t="shared" si="14"/>
        <v>5595.0346680752627</v>
      </c>
      <c r="X51" s="58">
        <f t="shared" si="14"/>
        <v>5595.0346680752618</v>
      </c>
      <c r="Y51" s="58">
        <f t="shared" si="14"/>
        <v>5595.0346680752618</v>
      </c>
      <c r="Z51" s="58">
        <f t="shared" si="14"/>
        <v>5595.0346680752609</v>
      </c>
      <c r="AA51" s="58">
        <f t="shared" si="14"/>
        <v>5595.0346680752609</v>
      </c>
      <c r="AB51" s="58">
        <f t="shared" si="14"/>
        <v>5595.0346680752618</v>
      </c>
      <c r="AC51" s="58">
        <f t="shared" si="14"/>
        <v>5595.0346680752609</v>
      </c>
      <c r="AD51" s="58">
        <f t="shared" si="14"/>
        <v>5595.0346680752609</v>
      </c>
      <c r="AE51" s="58">
        <f t="shared" si="14"/>
        <v>5595.0346680752609</v>
      </c>
      <c r="AF51" s="58">
        <f t="shared" si="14"/>
        <v>5595.0346680752609</v>
      </c>
      <c r="AG51" s="58">
        <f t="shared" si="14"/>
        <v>5595.0346680752609</v>
      </c>
      <c r="AH51" s="58">
        <f t="shared" si="14"/>
        <v>5595.0346680752609</v>
      </c>
      <c r="AI51" s="58">
        <f t="shared" si="14"/>
        <v>5595.0346680752609</v>
      </c>
      <c r="AJ51" s="58">
        <f t="shared" si="14"/>
        <v>5595.0346680752609</v>
      </c>
      <c r="AK51" s="58">
        <f t="shared" si="14"/>
        <v>5595.0346680752609</v>
      </c>
      <c r="AL51" s="58">
        <f t="shared" si="14"/>
        <v>5595.0346680752609</v>
      </c>
      <c r="AM51" s="58">
        <f t="shared" si="14"/>
        <v>5595.0346680752609</v>
      </c>
      <c r="AN51" s="58">
        <f t="shared" si="14"/>
        <v>5595.0346680752609</v>
      </c>
      <c r="AO51" s="58">
        <f t="shared" si="14"/>
        <v>5595.0346680752609</v>
      </c>
      <c r="AP51" s="58">
        <f t="shared" si="14"/>
        <v>5595.0346680752609</v>
      </c>
      <c r="AQ51" s="58">
        <f t="shared" si="14"/>
        <v>5595.0346680752609</v>
      </c>
    </row>
    <row r="52" spans="1:43" x14ac:dyDescent="0.35">
      <c r="B52" s="27" t="s">
        <v>103</v>
      </c>
      <c r="E52" s="41"/>
      <c r="G52" s="58">
        <f>IF(G77&gt;0, G112, G65)</f>
        <v>5202.3446595514251</v>
      </c>
      <c r="H52" s="58"/>
      <c r="I52" s="58">
        <f t="shared" si="14"/>
        <v>4939.3962176150962</v>
      </c>
      <c r="J52" s="58">
        <f t="shared" si="14"/>
        <v>5264.2300234468294</v>
      </c>
      <c r="K52" s="58">
        <f t="shared" si="14"/>
        <v>5300.8709225731391</v>
      </c>
      <c r="L52" s="58">
        <f t="shared" si="14"/>
        <v>5408.6950786940124</v>
      </c>
      <c r="M52" s="58">
        <f t="shared" si="14"/>
        <v>6464.0072717254243</v>
      </c>
      <c r="N52" s="58">
        <f t="shared" si="14"/>
        <v>6489.0917115906832</v>
      </c>
      <c r="O52" s="58">
        <f t="shared" si="14"/>
        <v>6488.301240438348</v>
      </c>
      <c r="P52" s="58">
        <f t="shared" si="14"/>
        <v>6486.5418316274245</v>
      </c>
      <c r="Q52" s="58">
        <f t="shared" si="14"/>
        <v>6483.8799211172363</v>
      </c>
      <c r="R52" s="58">
        <f t="shared" si="14"/>
        <v>6506.9861330842486</v>
      </c>
      <c r="S52" s="58">
        <f t="shared" si="14"/>
        <v>6461.407394023493</v>
      </c>
      <c r="T52" s="58">
        <f t="shared" si="14"/>
        <v>6417.8684123436033</v>
      </c>
      <c r="U52" s="58">
        <f t="shared" si="14"/>
        <v>6376.2833550338682</v>
      </c>
      <c r="V52" s="58">
        <f t="shared" si="14"/>
        <v>6336.5698616489517</v>
      </c>
      <c r="W52" s="58">
        <f t="shared" si="14"/>
        <v>6298.6489076037724</v>
      </c>
      <c r="X52" s="58">
        <f t="shared" si="14"/>
        <v>6262.4446727431223</v>
      </c>
      <c r="Y52" s="58">
        <f t="shared" si="14"/>
        <v>6227.8844149855377</v>
      </c>
      <c r="Z52" s="58">
        <f t="shared" si="14"/>
        <v>6194.8983488485928</v>
      </c>
      <c r="AA52" s="58">
        <f t="shared" si="14"/>
        <v>6163.4195286699241</v>
      </c>
      <c r="AB52" s="58">
        <f t="shared" si="14"/>
        <v>6133.3837363453476</v>
      </c>
      <c r="AC52" s="58">
        <f t="shared" si="14"/>
        <v>6104.7293734120603</v>
      </c>
      <c r="AD52" s="58">
        <f t="shared" si="14"/>
        <v>6077.3973573115009</v>
      </c>
      <c r="AE52" s="58">
        <f t="shared" si="14"/>
        <v>6051.3310216725122</v>
      </c>
      <c r="AF52" s="58">
        <f t="shared" si="14"/>
        <v>6026.4760204616141</v>
      </c>
      <c r="AG52" s="58">
        <f t="shared" si="14"/>
        <v>6002.7802358528061</v>
      </c>
      <c r="AH52" s="58">
        <f t="shared" si="14"/>
        <v>5980.1936896749849</v>
      </c>
      <c r="AI52" s="58">
        <f t="shared" si="14"/>
        <v>5958.6684583003607</v>
      </c>
      <c r="AJ52" s="58">
        <f t="shared" si="14"/>
        <v>5938.158590842404</v>
      </c>
      <c r="AK52" s="58">
        <f t="shared" si="14"/>
        <v>5918.6200305368238</v>
      </c>
      <c r="AL52" s="58">
        <f t="shared" si="14"/>
        <v>5900.0105391838424</v>
      </c>
      <c r="AM52" s="58">
        <f t="shared" si="14"/>
        <v>5882.2896245346437</v>
      </c>
      <c r="AN52" s="58">
        <f t="shared" si="14"/>
        <v>5865.4184705092412</v>
      </c>
      <c r="AO52" s="58">
        <f t="shared" si="14"/>
        <v>5849.3598701373448</v>
      </c>
      <c r="AP52" s="58">
        <f t="shared" si="14"/>
        <v>5834.0781611178381</v>
      </c>
      <c r="AQ52" s="58">
        <f t="shared" si="14"/>
        <v>5819.5391638964456</v>
      </c>
    </row>
    <row r="53" spans="1:43" x14ac:dyDescent="0.35">
      <c r="B53" s="27" t="s">
        <v>216</v>
      </c>
      <c r="E53" s="41"/>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row>
    <row r="54" spans="1:43" x14ac:dyDescent="0.35">
      <c r="B54" s="27" t="s">
        <v>172</v>
      </c>
      <c r="E54" s="41"/>
      <c r="G54" s="58">
        <f>G52-G51</f>
        <v>701.22857317746821</v>
      </c>
      <c r="H54" s="58"/>
      <c r="I54" s="58">
        <f t="shared" ref="I54:AQ54" si="15">I52-I51</f>
        <v>0</v>
      </c>
      <c r="J54" s="58">
        <f t="shared" si="15"/>
        <v>0</v>
      </c>
      <c r="K54" s="58">
        <f t="shared" si="15"/>
        <v>0</v>
      </c>
      <c r="L54" s="58">
        <f t="shared" si="15"/>
        <v>0</v>
      </c>
      <c r="M54" s="58">
        <f t="shared" si="15"/>
        <v>893.80859609727668</v>
      </c>
      <c r="N54" s="58">
        <f t="shared" si="15"/>
        <v>894.05704351542045</v>
      </c>
      <c r="O54" s="58">
        <f t="shared" si="15"/>
        <v>893.26657236308529</v>
      </c>
      <c r="P54" s="58">
        <f t="shared" si="15"/>
        <v>891.50716355216173</v>
      </c>
      <c r="Q54" s="58">
        <f t="shared" si="15"/>
        <v>888.84525304197359</v>
      </c>
      <c r="R54" s="58">
        <f t="shared" si="15"/>
        <v>911.951465008985</v>
      </c>
      <c r="S54" s="58">
        <f t="shared" si="15"/>
        <v>866.37272594823025</v>
      </c>
      <c r="T54" s="58">
        <f t="shared" si="15"/>
        <v>822.83374426834052</v>
      </c>
      <c r="U54" s="58">
        <f t="shared" si="15"/>
        <v>781.2486869586055</v>
      </c>
      <c r="V54" s="58">
        <f t="shared" si="15"/>
        <v>741.53519357368896</v>
      </c>
      <c r="W54" s="58">
        <f t="shared" si="15"/>
        <v>703.61423952850964</v>
      </c>
      <c r="X54" s="58">
        <f t="shared" si="15"/>
        <v>667.41000466786045</v>
      </c>
      <c r="Y54" s="58">
        <f t="shared" si="15"/>
        <v>632.84974691027583</v>
      </c>
      <c r="Z54" s="58">
        <f t="shared" si="15"/>
        <v>599.86368077333191</v>
      </c>
      <c r="AA54" s="58">
        <f t="shared" si="15"/>
        <v>568.38486059466322</v>
      </c>
      <c r="AB54" s="58">
        <f t="shared" si="15"/>
        <v>538.34906827008581</v>
      </c>
      <c r="AC54" s="58">
        <f t="shared" si="15"/>
        <v>509.69470533679942</v>
      </c>
      <c r="AD54" s="58">
        <f t="shared" si="15"/>
        <v>482.36268923623993</v>
      </c>
      <c r="AE54" s="58">
        <f t="shared" si="15"/>
        <v>456.29635359725125</v>
      </c>
      <c r="AF54" s="58">
        <f t="shared" si="15"/>
        <v>431.44135238635317</v>
      </c>
      <c r="AG54" s="58">
        <f t="shared" si="15"/>
        <v>407.74556777754515</v>
      </c>
      <c r="AH54" s="58">
        <f t="shared" si="15"/>
        <v>385.15902159972393</v>
      </c>
      <c r="AI54" s="58">
        <f t="shared" si="15"/>
        <v>363.6337902250998</v>
      </c>
      <c r="AJ54" s="58">
        <f t="shared" si="15"/>
        <v>343.12392276714309</v>
      </c>
      <c r="AK54" s="58">
        <f t="shared" si="15"/>
        <v>323.58536246156291</v>
      </c>
      <c r="AL54" s="58">
        <f t="shared" si="15"/>
        <v>304.97587110858149</v>
      </c>
      <c r="AM54" s="58">
        <f t="shared" si="15"/>
        <v>287.25495645938281</v>
      </c>
      <c r="AN54" s="58">
        <f t="shared" si="15"/>
        <v>270.38380243398024</v>
      </c>
      <c r="AO54" s="58">
        <f t="shared" si="15"/>
        <v>254.32520206208392</v>
      </c>
      <c r="AP54" s="58">
        <f t="shared" si="15"/>
        <v>239.04349304257721</v>
      </c>
      <c r="AQ54" s="58">
        <f t="shared" si="15"/>
        <v>224.50449582118472</v>
      </c>
    </row>
    <row r="55" spans="1:43" x14ac:dyDescent="0.35">
      <c r="B55" s="27" t="s">
        <v>179</v>
      </c>
      <c r="E55" s="41"/>
      <c r="G55" s="161">
        <f>G54/G51</f>
        <v>0.15578993292358501</v>
      </c>
      <c r="H55" s="161"/>
      <c r="I55" s="161">
        <f>I54/I51</f>
        <v>0</v>
      </c>
      <c r="J55" s="161">
        <f t="shared" ref="J55:AQ55" si="16">J54/J51</f>
        <v>0</v>
      </c>
      <c r="K55" s="161">
        <f t="shared" si="16"/>
        <v>0</v>
      </c>
      <c r="L55" s="161">
        <f t="shared" si="16"/>
        <v>0</v>
      </c>
      <c r="M55" s="161">
        <f t="shared" si="16"/>
        <v>0.16046260611996618</v>
      </c>
      <c r="N55" s="161">
        <f t="shared" si="16"/>
        <v>0.15979472810362108</v>
      </c>
      <c r="O55" s="161">
        <f t="shared" si="16"/>
        <v>0.15965344727173536</v>
      </c>
      <c r="P55" s="161">
        <f t="shared" si="16"/>
        <v>0.15933898830672436</v>
      </c>
      <c r="Q55" s="161">
        <f t="shared" si="16"/>
        <v>0.15886322530111213</v>
      </c>
      <c r="R55" s="161">
        <f t="shared" si="16"/>
        <v>0.16299299631019151</v>
      </c>
      <c r="S55" s="161">
        <f t="shared" si="16"/>
        <v>0.15484671272756734</v>
      </c>
      <c r="T55" s="161">
        <f t="shared" si="16"/>
        <v>0.14706499478249024</v>
      </c>
      <c r="U55" s="161">
        <f t="shared" si="16"/>
        <v>0.1396325015493356</v>
      </c>
      <c r="V55" s="161">
        <f t="shared" si="16"/>
        <v>0.13253451275374906</v>
      </c>
      <c r="W55" s="161">
        <f t="shared" si="16"/>
        <v>0.12575690433935391</v>
      </c>
      <c r="X55" s="161">
        <f t="shared" si="16"/>
        <v>0.11928612497721217</v>
      </c>
      <c r="Y55" s="161">
        <f t="shared" si="16"/>
        <v>0.11310917348220496</v>
      </c>
      <c r="Z55" s="161">
        <f t="shared" si="16"/>
        <v>0.10721357710187167</v>
      </c>
      <c r="AA55" s="161">
        <f t="shared" si="16"/>
        <v>0.10158737064451334</v>
      </c>
      <c r="AB55" s="161">
        <f t="shared" si="16"/>
        <v>9.6219076414638616E-2</v>
      </c>
      <c r="AC55" s="161">
        <f t="shared" si="16"/>
        <v>9.109768492500489E-2</v>
      </c>
      <c r="AD55" s="161">
        <f t="shared" si="16"/>
        <v>8.6212636355687988E-2</v>
      </c>
      <c r="AE55" s="161">
        <f t="shared" si="16"/>
        <v>8.1553802731703373E-2</v>
      </c>
      <c r="AF55" s="161">
        <f t="shared" si="16"/>
        <v>7.7111470791792716E-2</v>
      </c>
      <c r="AG55" s="161">
        <f t="shared" si="16"/>
        <v>7.2876325522003071E-2</v>
      </c>
      <c r="AH55" s="161">
        <f t="shared" si="16"/>
        <v>6.8839434328692356E-2</v>
      </c>
      <c r="AI55" s="161">
        <f t="shared" si="16"/>
        <v>6.4992231826544317E-2</v>
      </c>
      <c r="AJ55" s="161">
        <f t="shared" si="16"/>
        <v>6.1326505218095566E-2</v>
      </c>
      <c r="AK55" s="161">
        <f t="shared" si="16"/>
        <v>5.7834380242165508E-2</v>
      </c>
      <c r="AL55" s="161">
        <f t="shared" si="16"/>
        <v>5.4508307669431433E-2</v>
      </c>
      <c r="AM55" s="161">
        <f t="shared" si="16"/>
        <v>5.1341050324215584E-2</v>
      </c>
      <c r="AN55" s="161">
        <f t="shared" si="16"/>
        <v>4.8325670612331444E-2</v>
      </c>
      <c r="AO55" s="161">
        <f t="shared" si="16"/>
        <v>4.5455518535611493E-2</v>
      </c>
      <c r="AP55" s="161">
        <f t="shared" si="16"/>
        <v>4.2724220174458753E-2</v>
      </c>
      <c r="AQ55" s="161">
        <f t="shared" si="16"/>
        <v>4.0125666620474426E-2</v>
      </c>
    </row>
    <row r="56" spans="1:43" x14ac:dyDescent="0.35">
      <c r="B56" s="27"/>
      <c r="E56" s="4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row>
    <row r="57" spans="1:43" x14ac:dyDescent="0.35">
      <c r="A57" s="42" t="s">
        <v>176</v>
      </c>
      <c r="B57" s="27"/>
      <c r="E57" s="4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row>
    <row r="58" spans="1:43" x14ac:dyDescent="0.35">
      <c r="B58" s="27" t="s">
        <v>174</v>
      </c>
      <c r="E58" s="41"/>
      <c r="G58" s="58">
        <f>-1*((BaseEnroll!G42) - G51)</f>
        <v>-541.43501578613177</v>
      </c>
      <c r="H58" s="58"/>
      <c r="I58" s="58">
        <v>0</v>
      </c>
      <c r="J58" s="58">
        <v>0</v>
      </c>
      <c r="K58" s="58">
        <v>0</v>
      </c>
      <c r="L58" s="58">
        <f>-1*((BaseEnroll!I42) - L51)</f>
        <v>-3741.7375429217609</v>
      </c>
      <c r="M58" s="58">
        <f>-1*((BaseEnroll!J42) - M51)</f>
        <v>-3853.4657995849684</v>
      </c>
      <c r="N58" s="58">
        <f>-1*((BaseEnroll!K42) - N51)</f>
        <v>-3870.6473496636863</v>
      </c>
      <c r="O58" s="58">
        <f>-1*((BaseEnroll!L42) - O51)</f>
        <v>-3870.6473496636863</v>
      </c>
      <c r="P58" s="58">
        <f>-1*((BaseEnroll!M42) - P51)</f>
        <v>-3870.6473496636863</v>
      </c>
      <c r="Q58" s="58">
        <f>-1*((BaseEnroll!N42) - Q51)</f>
        <v>-3870.6473496636863</v>
      </c>
      <c r="R58" s="58">
        <f>-1*((BaseEnroll!O42) - R51)</f>
        <v>-3870.6473496636872</v>
      </c>
      <c r="S58" s="58">
        <f>-1*((BaseEnroll!P42) - S51)</f>
        <v>-3870.6473496636863</v>
      </c>
      <c r="T58" s="58">
        <f>-1*((BaseEnroll!Q42) - T51)</f>
        <v>-3870.6473496636863</v>
      </c>
      <c r="U58" s="58">
        <f>-1*((BaseEnroll!R42) - U51)</f>
        <v>-3870.6473496636863</v>
      </c>
      <c r="V58" s="58">
        <f>-1*((BaseEnroll!S42) - V51)</f>
        <v>-3870.6473496636863</v>
      </c>
      <c r="W58" s="58">
        <f>-1*((BaseEnroll!T42) - W51)</f>
        <v>-3870.6473496636845</v>
      </c>
      <c r="X58" s="58">
        <f>-1*((BaseEnroll!U42) - X51)</f>
        <v>-3870.6473496636836</v>
      </c>
      <c r="Y58" s="58">
        <f>-1*((BaseEnroll!V42) - Y51)</f>
        <v>-3870.6473496636836</v>
      </c>
      <c r="Z58" s="58">
        <f>-1*((BaseEnroll!W42) - Z51)</f>
        <v>-3870.6473496636845</v>
      </c>
      <c r="AA58" s="58">
        <f>-1*((BaseEnroll!X42) - AA51)</f>
        <v>-3870.6473496636845</v>
      </c>
      <c r="AB58" s="58">
        <f>-1*((BaseEnroll!Y42) - AB51)</f>
        <v>-3870.6473496636836</v>
      </c>
      <c r="AC58" s="58">
        <f>-1*((BaseEnroll!Z42) - AC51)</f>
        <v>-3870.6473496636845</v>
      </c>
      <c r="AD58" s="58">
        <f>-1*((BaseEnroll!AA42) - AD51)</f>
        <v>-3870.6473496636827</v>
      </c>
      <c r="AE58" s="58">
        <f>-1*((BaseEnroll!AB42) - AE51)</f>
        <v>-3870.6473496636827</v>
      </c>
      <c r="AF58" s="58">
        <f>-1*((BaseEnroll!AC42) - AF51)</f>
        <v>-3870.6473496636827</v>
      </c>
      <c r="AG58" s="58">
        <f>-1*((BaseEnroll!AD42) - AG51)</f>
        <v>-3870.6473496636809</v>
      </c>
      <c r="AH58" s="58">
        <f>-1*((BaseEnroll!AE42) - AH51)</f>
        <v>-3870.6473496636827</v>
      </c>
      <c r="AI58" s="58">
        <f>-1*((BaseEnroll!AF42) - AI51)</f>
        <v>-3870.6473496636827</v>
      </c>
      <c r="AJ58" s="58">
        <f>-1*((BaseEnroll!AG42) - AJ51)</f>
        <v>-3870.6473496636827</v>
      </c>
      <c r="AK58" s="58">
        <f>-1*((BaseEnroll!AH42) - AK51)</f>
        <v>-3870.6473496636845</v>
      </c>
      <c r="AL58" s="58">
        <f>-1*((BaseEnroll!AI42) - AL51)</f>
        <v>-3870.6473496636827</v>
      </c>
      <c r="AM58" s="58">
        <f>-1*((BaseEnroll!AJ42) - AM51)</f>
        <v>-3870.6473496636845</v>
      </c>
      <c r="AN58" s="58">
        <f>-1*((BaseEnroll!AK42) - AN51)</f>
        <v>-3870.6473496636845</v>
      </c>
      <c r="AO58" s="58">
        <f>-1*((BaseEnroll!AL42) - AO51)</f>
        <v>-3870.6473496636827</v>
      </c>
      <c r="AP58" s="58">
        <f>-1*((BaseEnroll!AM42) - AP51)</f>
        <v>-3870.6473496636845</v>
      </c>
      <c r="AQ58" s="58">
        <f>-1*((BaseEnroll!AN42) - AQ51)</f>
        <v>-3870.6473496636827</v>
      </c>
    </row>
    <row r="59" spans="1:43" x14ac:dyDescent="0.35">
      <c r="B59" s="27" t="s">
        <v>177</v>
      </c>
      <c r="E59" s="41"/>
      <c r="G59" s="161">
        <f>G58/G51</f>
        <v>-0.12028905840158081</v>
      </c>
      <c r="H59" s="58"/>
      <c r="I59" s="161">
        <f t="shared" ref="I59:AQ59" si="17">I58/I51</f>
        <v>0</v>
      </c>
      <c r="J59" s="161">
        <f t="shared" si="17"/>
        <v>0</v>
      </c>
      <c r="K59" s="161">
        <f t="shared" si="17"/>
        <v>0</v>
      </c>
      <c r="L59" s="161">
        <f t="shared" si="17"/>
        <v>-0.69180042292664123</v>
      </c>
      <c r="M59" s="161">
        <f t="shared" si="17"/>
        <v>-0.69180042292664101</v>
      </c>
      <c r="N59" s="161">
        <f t="shared" si="17"/>
        <v>-0.69180042292664123</v>
      </c>
      <c r="O59" s="161">
        <f t="shared" si="17"/>
        <v>-0.69180042292664123</v>
      </c>
      <c r="P59" s="161">
        <f t="shared" si="17"/>
        <v>-0.69180042292664123</v>
      </c>
      <c r="Q59" s="161">
        <f t="shared" si="17"/>
        <v>-0.69180042292664123</v>
      </c>
      <c r="R59" s="161">
        <f t="shared" si="17"/>
        <v>-0.69180042292664123</v>
      </c>
      <c r="S59" s="161">
        <f t="shared" si="17"/>
        <v>-0.69180042292664123</v>
      </c>
      <c r="T59" s="161">
        <f t="shared" si="17"/>
        <v>-0.69180042292664123</v>
      </c>
      <c r="U59" s="161">
        <f t="shared" si="17"/>
        <v>-0.69180042292664123</v>
      </c>
      <c r="V59" s="161">
        <f t="shared" si="17"/>
        <v>-0.69180042292664123</v>
      </c>
      <c r="W59" s="161">
        <f t="shared" si="17"/>
        <v>-0.6918004229266409</v>
      </c>
      <c r="X59" s="161">
        <f t="shared" si="17"/>
        <v>-0.69180042292664079</v>
      </c>
      <c r="Y59" s="161">
        <f t="shared" si="17"/>
        <v>-0.69180042292664079</v>
      </c>
      <c r="Z59" s="161">
        <f t="shared" si="17"/>
        <v>-0.69180042292664112</v>
      </c>
      <c r="AA59" s="161">
        <f t="shared" si="17"/>
        <v>-0.69180042292664112</v>
      </c>
      <c r="AB59" s="161">
        <f t="shared" si="17"/>
        <v>-0.69180042292664079</v>
      </c>
      <c r="AC59" s="161">
        <f t="shared" si="17"/>
        <v>-0.69180042292664112</v>
      </c>
      <c r="AD59" s="161">
        <f t="shared" si="17"/>
        <v>-0.69180042292664079</v>
      </c>
      <c r="AE59" s="161">
        <f t="shared" si="17"/>
        <v>-0.69180042292664079</v>
      </c>
      <c r="AF59" s="161">
        <f t="shared" si="17"/>
        <v>-0.69180042292664079</v>
      </c>
      <c r="AG59" s="161">
        <f t="shared" si="17"/>
        <v>-0.69180042292664046</v>
      </c>
      <c r="AH59" s="161">
        <f t="shared" si="17"/>
        <v>-0.69180042292664079</v>
      </c>
      <c r="AI59" s="161">
        <f t="shared" si="17"/>
        <v>-0.69180042292664079</v>
      </c>
      <c r="AJ59" s="161">
        <f t="shared" si="17"/>
        <v>-0.69180042292664079</v>
      </c>
      <c r="AK59" s="161">
        <f t="shared" si="17"/>
        <v>-0.69180042292664112</v>
      </c>
      <c r="AL59" s="161">
        <f t="shared" si="17"/>
        <v>-0.69180042292664079</v>
      </c>
      <c r="AM59" s="161">
        <f t="shared" si="17"/>
        <v>-0.69180042292664112</v>
      </c>
      <c r="AN59" s="161">
        <f t="shared" si="17"/>
        <v>-0.69180042292664112</v>
      </c>
      <c r="AO59" s="161">
        <f t="shared" si="17"/>
        <v>-0.69180042292664079</v>
      </c>
      <c r="AP59" s="161">
        <f t="shared" si="17"/>
        <v>-0.69180042292664112</v>
      </c>
      <c r="AQ59" s="161">
        <f t="shared" si="17"/>
        <v>-0.69180042292664079</v>
      </c>
    </row>
    <row r="60" spans="1:43" x14ac:dyDescent="0.35">
      <c r="B60" s="27" t="s">
        <v>175</v>
      </c>
      <c r="E60" s="41"/>
      <c r="G60" s="58">
        <f>G52-BaseEnroll!G42</f>
        <v>159.79355739133644</v>
      </c>
      <c r="H60" s="58"/>
      <c r="I60" s="58">
        <v>0</v>
      </c>
      <c r="J60" s="58">
        <v>0</v>
      </c>
      <c r="K60" s="58">
        <v>0</v>
      </c>
      <c r="L60" s="58">
        <f>L52-BaseEnroll!I42</f>
        <v>-3741.7375429217609</v>
      </c>
      <c r="M60" s="58">
        <f>M52-BaseEnroll!J42</f>
        <v>-2959.6572034876917</v>
      </c>
      <c r="N60" s="58">
        <f>N52-BaseEnroll!K42</f>
        <v>-2976.5903061482659</v>
      </c>
      <c r="O60" s="58">
        <f>O52-BaseEnroll!L42</f>
        <v>-2977.380777300601</v>
      </c>
      <c r="P60" s="58">
        <f>P52-BaseEnroll!M42</f>
        <v>-2979.1401861115246</v>
      </c>
      <c r="Q60" s="58">
        <f>Q52-BaseEnroll!N42</f>
        <v>-2981.8020966217127</v>
      </c>
      <c r="R60" s="58">
        <f>R52-BaseEnroll!O42</f>
        <v>-2958.6958846547022</v>
      </c>
      <c r="S60" s="58">
        <f>S52-BaseEnroll!P42</f>
        <v>-3004.2746237154561</v>
      </c>
      <c r="T60" s="58">
        <f>T52-BaseEnroll!Q42</f>
        <v>-3047.8136053953458</v>
      </c>
      <c r="U60" s="58">
        <f>U52-BaseEnroll!R42</f>
        <v>-3089.3986627050808</v>
      </c>
      <c r="V60" s="58">
        <f>V52-BaseEnroll!S42</f>
        <v>-3129.1121560899974</v>
      </c>
      <c r="W60" s="58">
        <f>W52-BaseEnroll!T42</f>
        <v>-3167.0331101351749</v>
      </c>
      <c r="X60" s="58">
        <f>X52-BaseEnroll!U42</f>
        <v>-3203.2373449958232</v>
      </c>
      <c r="Y60" s="58">
        <f>Y52-BaseEnroll!V42</f>
        <v>-3237.7976027534078</v>
      </c>
      <c r="Z60" s="58">
        <f>Z52-BaseEnroll!W42</f>
        <v>-3270.7836688903526</v>
      </c>
      <c r="AA60" s="58">
        <f>AA52-BaseEnroll!X42</f>
        <v>-3302.2624890690213</v>
      </c>
      <c r="AB60" s="58">
        <f>AB52-BaseEnroll!Y42</f>
        <v>-3332.2982813935978</v>
      </c>
      <c r="AC60" s="58">
        <f>AC52-BaseEnroll!Z42</f>
        <v>-3360.9526443268851</v>
      </c>
      <c r="AD60" s="58">
        <f>AD52-BaseEnroll!AA42</f>
        <v>-3388.2846604274428</v>
      </c>
      <c r="AE60" s="58">
        <f>AE52-BaseEnroll!AB42</f>
        <v>-3414.3509960664314</v>
      </c>
      <c r="AF60" s="58">
        <f>AF52-BaseEnroll!AC42</f>
        <v>-3439.2059972773295</v>
      </c>
      <c r="AG60" s="58">
        <f>AG52-BaseEnroll!AD42</f>
        <v>-3462.9017818861357</v>
      </c>
      <c r="AH60" s="58">
        <f>AH52-BaseEnroll!AE42</f>
        <v>-3485.4883280639588</v>
      </c>
      <c r="AI60" s="58">
        <f>AI52-BaseEnroll!AF42</f>
        <v>-3507.0135594385829</v>
      </c>
      <c r="AJ60" s="58">
        <f>AJ52-BaseEnroll!AG42</f>
        <v>-3527.5234268965396</v>
      </c>
      <c r="AK60" s="58">
        <f>AK52-BaseEnroll!AH42</f>
        <v>-3547.0619872021216</v>
      </c>
      <c r="AL60" s="58">
        <f>AL52-BaseEnroll!AI42</f>
        <v>-3565.6714785551012</v>
      </c>
      <c r="AM60" s="58">
        <f>AM52-BaseEnroll!AJ42</f>
        <v>-3583.3923932043017</v>
      </c>
      <c r="AN60" s="58">
        <f>AN52-BaseEnroll!AK42</f>
        <v>-3600.2635472297043</v>
      </c>
      <c r="AO60" s="58">
        <f>AO52-BaseEnroll!AL42</f>
        <v>-3616.3221476015988</v>
      </c>
      <c r="AP60" s="58">
        <f>AP52-BaseEnroll!AM42</f>
        <v>-3631.6038566211073</v>
      </c>
      <c r="AQ60" s="58">
        <f>AQ52-BaseEnroll!AN42</f>
        <v>-3646.142853842498</v>
      </c>
    </row>
    <row r="61" spans="1:43" s="9" customFormat="1" x14ac:dyDescent="0.35">
      <c r="B61" s="162" t="s">
        <v>178</v>
      </c>
      <c r="G61" s="163">
        <f>G60/BaseEnroll!G42</f>
        <v>3.1689030840537306E-2</v>
      </c>
      <c r="H61" s="191"/>
      <c r="I61" s="163">
        <f>IF(I60/BaseEnroll!I42&lt;0,0,I60/BaseEnroll!I42)</f>
        <v>0</v>
      </c>
      <c r="J61" s="163">
        <f>IF(J60/BaseEnroll!J42&lt;0,0,J60/BaseEnroll!J42)</f>
        <v>0</v>
      </c>
      <c r="K61" s="163">
        <f>IF(K60/BaseEnroll!K42&lt;0,0,K60/BaseEnroll!K42)</f>
        <v>0</v>
      </c>
      <c r="L61" s="163">
        <f>L60/BaseEnroll!I42</f>
        <v>-0.40891373092926497</v>
      </c>
      <c r="M61" s="163">
        <f>M60/BaseEnroll!J42</f>
        <v>-0.31406648775244717</v>
      </c>
      <c r="N61" s="163">
        <f>N60/BaseEnroll!K42</f>
        <v>-0.31446126127732305</v>
      </c>
      <c r="O61" s="163">
        <f>O60/BaseEnroll!L42</f>
        <v>-0.31454477043713358</v>
      </c>
      <c r="P61" s="163">
        <f>P60/BaseEnroll!M42</f>
        <v>-0.31473064281353774</v>
      </c>
      <c r="Q61" s="163">
        <f>Q60/BaseEnroll!N42</f>
        <v>-0.315011859793487</v>
      </c>
      <c r="R61" s="163">
        <f>R60/BaseEnroll!O42</f>
        <v>-0.31257080885561378</v>
      </c>
      <c r="S61" s="163">
        <f>S60/BaseEnroll!P42</f>
        <v>-0.31738596522525925</v>
      </c>
      <c r="T61" s="163">
        <f>T60/BaseEnroll!Q42</f>
        <v>-0.32198563185237566</v>
      </c>
      <c r="U61" s="163">
        <f>U60/BaseEnroll!R42</f>
        <v>-0.32637887654745451</v>
      </c>
      <c r="V61" s="163">
        <f>V60/BaseEnroll!S42</f>
        <v>-0.3305744002625437</v>
      </c>
      <c r="W61" s="163">
        <f>W60/BaseEnroll!T42</f>
        <v>-0.3345805515334308</v>
      </c>
      <c r="X61" s="163">
        <f>X60/BaseEnroll!U42</f>
        <v>-0.33840534036457903</v>
      </c>
      <c r="Y61" s="163">
        <f>Y60/BaseEnroll!V42</f>
        <v>-0.34205645157799375</v>
      </c>
      <c r="Z61" s="163">
        <f>Z60/BaseEnroll!W42</f>
        <v>-0.34554125764639199</v>
      </c>
      <c r="AA61" s="163">
        <f>AA60/BaseEnroll!X42</f>
        <v>-0.34886683103029359</v>
      </c>
      <c r="AB61" s="163">
        <f>AB60/BaseEnroll!Y42</f>
        <v>-0.35203995603790411</v>
      </c>
      <c r="AC61" s="163">
        <f>AC60/BaseEnroll!Z42</f>
        <v>-0.35506714022596242</v>
      </c>
      <c r="AD61" s="163">
        <f>AD60/BaseEnroll!AA42</f>
        <v>-0.35795462535902917</v>
      </c>
      <c r="AE61" s="163">
        <f>AE60/BaseEnroll!AB42</f>
        <v>-0.36070839794405152</v>
      </c>
      <c r="AF61" s="163">
        <f>AF60/BaseEnroll!AC42</f>
        <v>-0.36333419935638706</v>
      </c>
      <c r="AG61" s="163">
        <f>AG60/BaseEnroll!AD42</f>
        <v>-0.36583753557287946</v>
      </c>
      <c r="AH61" s="163">
        <f>AH60/BaseEnroll!AE42</f>
        <v>-0.36822368652697812</v>
      </c>
      <c r="AI61" s="163">
        <f>AI60/BaseEnroll!AF42</f>
        <v>-0.37049771510033241</v>
      </c>
      <c r="AJ61" s="163">
        <f>AJ60/BaseEnroll!AG42</f>
        <v>-0.3726644757647537</v>
      </c>
      <c r="AK61" s="163">
        <f>AK60/BaseEnroll!AH42</f>
        <v>-0.37472862288790509</v>
      </c>
      <c r="AL61" s="163">
        <f>AL60/BaseEnroll!AI42</f>
        <v>-0.37669461871558085</v>
      </c>
      <c r="AM61" s="163">
        <f>AM60/BaseEnroll!AJ42</f>
        <v>-0.37856674104295146</v>
      </c>
      <c r="AN61" s="163">
        <f>AN60/BaseEnroll!AK42</f>
        <v>-0.38034909058668065</v>
      </c>
      <c r="AO61" s="163">
        <f>AO60/BaseEnroll!AL42</f>
        <v>-0.38204559806937455</v>
      </c>
      <c r="AP61" s="163">
        <f>AP60/BaseEnroll!AM42</f>
        <v>-0.38366003102738744</v>
      </c>
      <c r="AQ61" s="163">
        <f>AQ60/BaseEnroll!AN42</f>
        <v>-0.38519600035259244</v>
      </c>
    </row>
    <row r="62" spans="1:43" x14ac:dyDescent="0.35">
      <c r="F62" s="40"/>
      <c r="G62" s="60"/>
      <c r="H62" s="60"/>
      <c r="I62" s="111"/>
      <c r="J62" s="111"/>
      <c r="K62" s="111"/>
      <c r="L62" s="111"/>
      <c r="M62" s="110"/>
      <c r="N62" s="111"/>
      <c r="O62" s="111"/>
      <c r="P62" s="108"/>
      <c r="Q62" s="108"/>
      <c r="R62" s="108"/>
    </row>
    <row r="63" spans="1:43" x14ac:dyDescent="0.35">
      <c r="A63" s="42" t="s">
        <v>76</v>
      </c>
      <c r="G63" s="56"/>
      <c r="H63" s="56"/>
      <c r="I63" s="108"/>
      <c r="J63" s="108"/>
      <c r="K63" s="108"/>
      <c r="L63" s="108"/>
      <c r="M63" s="108"/>
      <c r="N63" s="108"/>
      <c r="O63" s="108"/>
      <c r="P63" s="108"/>
      <c r="Q63" s="108"/>
      <c r="R63" s="108"/>
    </row>
    <row r="64" spans="1:43" x14ac:dyDescent="0.35">
      <c r="A64" s="42"/>
      <c r="B64" s="27" t="s">
        <v>173</v>
      </c>
      <c r="F64" s="44"/>
      <c r="G64" s="60">
        <f>G43*G50/100</f>
        <v>7614.9900985693675</v>
      </c>
      <c r="H64" s="60"/>
      <c r="I64" s="60">
        <f t="shared" ref="I64:AQ64" si="18">I43*I50/100</f>
        <v>8370.8541952530486</v>
      </c>
      <c r="J64" s="60">
        <f t="shared" si="18"/>
        <v>8906.0265800504676</v>
      </c>
      <c r="K64" s="60">
        <f t="shared" si="18"/>
        <v>8968.0156686887694</v>
      </c>
      <c r="L64" s="60">
        <f t="shared" si="18"/>
        <v>9150.4326216157733</v>
      </c>
      <c r="M64" s="60">
        <f t="shared" si="18"/>
        <v>9423.664475213116</v>
      </c>
      <c r="N64" s="60">
        <f t="shared" si="18"/>
        <v>9465.6820177389491</v>
      </c>
      <c r="O64" s="60">
        <f t="shared" si="18"/>
        <v>9465.6820177389491</v>
      </c>
      <c r="P64" s="60">
        <f t="shared" si="18"/>
        <v>9465.6820177389491</v>
      </c>
      <c r="Q64" s="60">
        <f t="shared" si="18"/>
        <v>9465.6820177389491</v>
      </c>
      <c r="R64" s="60">
        <f t="shared" si="18"/>
        <v>9465.6820177389509</v>
      </c>
      <c r="S64" s="60">
        <f t="shared" si="18"/>
        <v>9465.6820177389491</v>
      </c>
      <c r="T64" s="60">
        <f t="shared" si="18"/>
        <v>9465.6820177389491</v>
      </c>
      <c r="U64" s="60">
        <f t="shared" si="18"/>
        <v>9465.6820177389491</v>
      </c>
      <c r="V64" s="60">
        <f t="shared" si="18"/>
        <v>9465.6820177389491</v>
      </c>
      <c r="W64" s="60">
        <f t="shared" si="18"/>
        <v>9465.6820177389473</v>
      </c>
      <c r="X64" s="60">
        <f t="shared" si="18"/>
        <v>9465.6820177389454</v>
      </c>
      <c r="Y64" s="60">
        <f t="shared" si="18"/>
        <v>9465.6820177389454</v>
      </c>
      <c r="Z64" s="60">
        <f t="shared" si="18"/>
        <v>9465.6820177389454</v>
      </c>
      <c r="AA64" s="60">
        <f t="shared" si="18"/>
        <v>9465.6820177389454</v>
      </c>
      <c r="AB64" s="60">
        <f t="shared" si="18"/>
        <v>9465.6820177389454</v>
      </c>
      <c r="AC64" s="60">
        <f t="shared" si="18"/>
        <v>9465.6820177389454</v>
      </c>
      <c r="AD64" s="60">
        <f t="shared" si="18"/>
        <v>9465.6820177389436</v>
      </c>
      <c r="AE64" s="60">
        <f t="shared" si="18"/>
        <v>9465.6820177389436</v>
      </c>
      <c r="AF64" s="60">
        <f t="shared" si="18"/>
        <v>9465.6820177389436</v>
      </c>
      <c r="AG64" s="60">
        <f t="shared" si="18"/>
        <v>9465.6820177389418</v>
      </c>
      <c r="AH64" s="60">
        <f t="shared" si="18"/>
        <v>9465.6820177389436</v>
      </c>
      <c r="AI64" s="60">
        <f t="shared" si="18"/>
        <v>9465.6820177389436</v>
      </c>
      <c r="AJ64" s="60">
        <f t="shared" si="18"/>
        <v>9465.6820177389436</v>
      </c>
      <c r="AK64" s="60">
        <f t="shared" si="18"/>
        <v>9465.6820177389454</v>
      </c>
      <c r="AL64" s="60">
        <f t="shared" si="18"/>
        <v>9465.6820177389436</v>
      </c>
      <c r="AM64" s="60">
        <f t="shared" si="18"/>
        <v>9465.6820177389454</v>
      </c>
      <c r="AN64" s="60">
        <f t="shared" si="18"/>
        <v>9465.6820177389454</v>
      </c>
      <c r="AO64" s="60">
        <f t="shared" si="18"/>
        <v>9465.6820177389436</v>
      </c>
      <c r="AP64" s="60">
        <f t="shared" si="18"/>
        <v>9465.6820177389454</v>
      </c>
      <c r="AQ64" s="60">
        <f t="shared" si="18"/>
        <v>9465.6820177389436</v>
      </c>
    </row>
    <row r="65" spans="1:43" x14ac:dyDescent="0.35">
      <c r="B65" s="27" t="s">
        <v>148</v>
      </c>
      <c r="F65" s="40"/>
      <c r="G65" s="60">
        <f>G44*G50/100</f>
        <v>7614.9900985693675</v>
      </c>
      <c r="H65" s="60"/>
      <c r="I65" s="60">
        <f t="shared" ref="I65:AQ65" si="19">I44*I50/100</f>
        <v>8370.8541952530486</v>
      </c>
      <c r="J65" s="60">
        <f t="shared" si="19"/>
        <v>8906.0265800504676</v>
      </c>
      <c r="K65" s="60">
        <f t="shared" si="19"/>
        <v>8968.0156686887694</v>
      </c>
      <c r="L65" s="60">
        <f t="shared" si="19"/>
        <v>9150.4326216157733</v>
      </c>
      <c r="M65" s="60">
        <f t="shared" si="19"/>
        <v>10935.810236105954</v>
      </c>
      <c r="N65" s="60">
        <f t="shared" si="19"/>
        <v>10978.248102078878</v>
      </c>
      <c r="O65" s="60">
        <f t="shared" si="19"/>
        <v>10976.910782649047</v>
      </c>
      <c r="P65" s="60">
        <f t="shared" si="19"/>
        <v>10973.934214078625</v>
      </c>
      <c r="Q65" s="60">
        <f t="shared" si="19"/>
        <v>10969.430792751698</v>
      </c>
      <c r="R65" s="60">
        <f t="shared" si="19"/>
        <v>11008.521891929722</v>
      </c>
      <c r="S65" s="60">
        <f t="shared" si="19"/>
        <v>10931.411761910273</v>
      </c>
      <c r="T65" s="60">
        <f t="shared" si="19"/>
        <v>10857.752494290438</v>
      </c>
      <c r="U65" s="60">
        <f t="shared" si="19"/>
        <v>10787.398876746402</v>
      </c>
      <c r="V65" s="60">
        <f t="shared" si="19"/>
        <v>10720.211571841901</v>
      </c>
      <c r="W65" s="60">
        <f t="shared" si="19"/>
        <v>10656.05688575049</v>
      </c>
      <c r="X65" s="60">
        <f t="shared" si="19"/>
        <v>10594.806545901503</v>
      </c>
      <c r="Y65" s="60">
        <f t="shared" si="19"/>
        <v>10536.337487210767</v>
      </c>
      <c r="Z65" s="60">
        <f t="shared" si="19"/>
        <v>10480.531646569598</v>
      </c>
      <c r="AA65" s="60">
        <f t="shared" si="19"/>
        <v>10427.275765278095</v>
      </c>
      <c r="AB65" s="60">
        <f t="shared" si="19"/>
        <v>10376.46119912044</v>
      </c>
      <c r="AC65" s="60">
        <f t="shared" si="19"/>
        <v>10327.983735791211</v>
      </c>
      <c r="AD65" s="60">
        <f t="shared" si="19"/>
        <v>10281.743419392847</v>
      </c>
      <c r="AE65" s="60">
        <f t="shared" si="19"/>
        <v>10237.644381734657</v>
      </c>
      <c r="AF65" s="60">
        <f t="shared" si="19"/>
        <v>10195.594680174218</v>
      </c>
      <c r="AG65" s="60">
        <f t="shared" si="19"/>
        <v>10155.506141751455</v>
      </c>
      <c r="AH65" s="60">
        <f t="shared" si="19"/>
        <v>10117.294213375366</v>
      </c>
      <c r="AI65" s="60">
        <f t="shared" si="19"/>
        <v>10080.877817832185</v>
      </c>
      <c r="AJ65" s="60">
        <f t="shared" si="19"/>
        <v>10046.179215392644</v>
      </c>
      <c r="AK65" s="60">
        <f t="shared" si="19"/>
        <v>10013.123870804286</v>
      </c>
      <c r="AL65" s="60">
        <f t="shared" si="19"/>
        <v>9981.640325462864</v>
      </c>
      <c r="AM65" s="60">
        <f t="shared" si="19"/>
        <v>9951.6600745647029</v>
      </c>
      <c r="AN65" s="60">
        <f t="shared" si="19"/>
        <v>9923.1174490492667</v>
      </c>
      <c r="AO65" s="60">
        <f t="shared" si="19"/>
        <v>9895.9495021484818</v>
      </c>
      <c r="AP65" s="60">
        <f t="shared" si="19"/>
        <v>9870.0959003662374</v>
      </c>
      <c r="AQ65" s="60">
        <f t="shared" si="19"/>
        <v>9845.4988187181571</v>
      </c>
    </row>
    <row r="66" spans="1:43" x14ac:dyDescent="0.35">
      <c r="B66" s="27" t="s">
        <v>66</v>
      </c>
      <c r="F66" s="40"/>
      <c r="G66" s="60">
        <f>(G44-G43)*G50/100</f>
        <v>0</v>
      </c>
      <c r="H66" s="60"/>
      <c r="I66" s="60">
        <f t="shared" ref="I66:AQ66" si="20">(I44-I43)*I50/100</f>
        <v>0</v>
      </c>
      <c r="J66" s="60">
        <f t="shared" si="20"/>
        <v>0</v>
      </c>
      <c r="K66" s="60">
        <f t="shared" si="20"/>
        <v>0</v>
      </c>
      <c r="L66" s="60">
        <f t="shared" si="20"/>
        <v>0</v>
      </c>
      <c r="M66" s="60">
        <f t="shared" si="20"/>
        <v>1512.1457608928388</v>
      </c>
      <c r="N66" s="60">
        <f t="shared" si="20"/>
        <v>1512.5660843399296</v>
      </c>
      <c r="O66" s="60">
        <f t="shared" si="20"/>
        <v>1511.2287649100974</v>
      </c>
      <c r="P66" s="60">
        <f t="shared" si="20"/>
        <v>1508.2521963396762</v>
      </c>
      <c r="Q66" s="60">
        <f t="shared" si="20"/>
        <v>1503.7487750127493</v>
      </c>
      <c r="R66" s="60">
        <f t="shared" si="20"/>
        <v>1542.8398741907708</v>
      </c>
      <c r="S66" s="60">
        <f t="shared" si="20"/>
        <v>1465.7297441713226</v>
      </c>
      <c r="T66" s="60">
        <f t="shared" si="20"/>
        <v>1392.070476551489</v>
      </c>
      <c r="U66" s="60">
        <f t="shared" si="20"/>
        <v>1321.7168590074521</v>
      </c>
      <c r="V66" s="60">
        <f t="shared" si="20"/>
        <v>1254.5295541029536</v>
      </c>
      <c r="W66" s="60">
        <f t="shared" si="20"/>
        <v>1190.3748680115409</v>
      </c>
      <c r="X66" s="60">
        <f t="shared" si="20"/>
        <v>1129.1245281625568</v>
      </c>
      <c r="Y66" s="60">
        <f t="shared" si="20"/>
        <v>1070.6554694718213</v>
      </c>
      <c r="Z66" s="60">
        <f t="shared" si="20"/>
        <v>1014.8496288306535</v>
      </c>
      <c r="AA66" s="60">
        <f t="shared" si="20"/>
        <v>961.59374753914938</v>
      </c>
      <c r="AB66" s="60">
        <f t="shared" si="20"/>
        <v>910.77918138149403</v>
      </c>
      <c r="AC66" s="60">
        <f t="shared" si="20"/>
        <v>862.30171805226678</v>
      </c>
      <c r="AD66" s="60">
        <f t="shared" si="20"/>
        <v>816.06140165390275</v>
      </c>
      <c r="AE66" s="60">
        <f t="shared" si="20"/>
        <v>771.96236399571444</v>
      </c>
      <c r="AF66" s="60">
        <f t="shared" si="20"/>
        <v>729.912662435274</v>
      </c>
      <c r="AG66" s="60">
        <f t="shared" si="20"/>
        <v>689.82412401251304</v>
      </c>
      <c r="AH66" s="60">
        <f t="shared" si="20"/>
        <v>651.61219563642271</v>
      </c>
      <c r="AI66" s="60">
        <f t="shared" si="20"/>
        <v>615.19580009324022</v>
      </c>
      <c r="AJ66" s="60">
        <f t="shared" si="20"/>
        <v>580.49719765370048</v>
      </c>
      <c r="AK66" s="60">
        <f t="shared" si="20"/>
        <v>547.4418530653403</v>
      </c>
      <c r="AL66" s="60">
        <f t="shared" si="20"/>
        <v>515.95830772392003</v>
      </c>
      <c r="AM66" s="60">
        <f t="shared" si="20"/>
        <v>485.97805682575813</v>
      </c>
      <c r="AN66" s="60">
        <f t="shared" si="20"/>
        <v>457.43543131032106</v>
      </c>
      <c r="AO66" s="60">
        <f t="shared" si="20"/>
        <v>430.26748440953764</v>
      </c>
      <c r="AP66" s="60">
        <f t="shared" si="20"/>
        <v>404.41388262729265</v>
      </c>
      <c r="AQ66" s="60">
        <f t="shared" si="20"/>
        <v>379.81680097921412</v>
      </c>
    </row>
    <row r="67" spans="1:43" x14ac:dyDescent="0.35">
      <c r="B67" s="27" t="s">
        <v>67</v>
      </c>
      <c r="G67" s="59">
        <f>G66/G64</f>
        <v>0</v>
      </c>
      <c r="H67" s="59"/>
      <c r="I67" s="59">
        <f t="shared" ref="I67:AQ67" si="21">I66/I64</f>
        <v>0</v>
      </c>
      <c r="J67" s="59">
        <f t="shared" si="21"/>
        <v>0</v>
      </c>
      <c r="K67" s="59">
        <f t="shared" si="21"/>
        <v>0</v>
      </c>
      <c r="L67" s="59">
        <f t="shared" si="21"/>
        <v>0</v>
      </c>
      <c r="M67" s="59">
        <f t="shared" si="21"/>
        <v>0.16046260611996604</v>
      </c>
      <c r="N67" s="59">
        <f t="shared" si="21"/>
        <v>0.15979472810362097</v>
      </c>
      <c r="O67" s="59">
        <f t="shared" si="21"/>
        <v>0.15965344727173519</v>
      </c>
      <c r="P67" s="59">
        <f t="shared" si="21"/>
        <v>0.15933898830672422</v>
      </c>
      <c r="Q67" s="59">
        <f t="shared" si="21"/>
        <v>0.15886322530111224</v>
      </c>
      <c r="R67" s="59">
        <f t="shared" si="21"/>
        <v>0.16299299631019151</v>
      </c>
      <c r="S67" s="59">
        <f t="shared" si="21"/>
        <v>0.15484671272756731</v>
      </c>
      <c r="T67" s="59">
        <f t="shared" si="21"/>
        <v>0.1470649947824901</v>
      </c>
      <c r="U67" s="59">
        <f t="shared" si="21"/>
        <v>0.13963250154933562</v>
      </c>
      <c r="V67" s="59">
        <f t="shared" si="21"/>
        <v>0.13253451275374883</v>
      </c>
      <c r="W67" s="59">
        <f t="shared" si="21"/>
        <v>0.12575690433935408</v>
      </c>
      <c r="X67" s="59">
        <f t="shared" si="21"/>
        <v>0.11928612497721207</v>
      </c>
      <c r="Y67" s="59">
        <f t="shared" si="21"/>
        <v>0.11310917348220487</v>
      </c>
      <c r="Z67" s="59">
        <f t="shared" si="21"/>
        <v>0.10721357710187156</v>
      </c>
      <c r="AA67" s="59">
        <f t="shared" si="21"/>
        <v>0.10158737064451315</v>
      </c>
      <c r="AB67" s="59">
        <f t="shared" si="21"/>
        <v>9.6219076414638588E-2</v>
      </c>
      <c r="AC67" s="59">
        <f t="shared" si="21"/>
        <v>9.1097684925004863E-2</v>
      </c>
      <c r="AD67" s="59">
        <f t="shared" si="21"/>
        <v>8.6212636355688016E-2</v>
      </c>
      <c r="AE67" s="59">
        <f t="shared" si="21"/>
        <v>8.1553802731703443E-2</v>
      </c>
      <c r="AF67" s="59">
        <f t="shared" si="21"/>
        <v>7.7111470791792702E-2</v>
      </c>
      <c r="AG67" s="59">
        <f t="shared" si="21"/>
        <v>7.2876325522002974E-2</v>
      </c>
      <c r="AH67" s="59">
        <f t="shared" si="21"/>
        <v>6.8839434328692203E-2</v>
      </c>
      <c r="AI67" s="59">
        <f t="shared" si="21"/>
        <v>6.4992231826544219E-2</v>
      </c>
      <c r="AJ67" s="59">
        <f t="shared" si="21"/>
        <v>6.1326505218095545E-2</v>
      </c>
      <c r="AK67" s="59">
        <f t="shared" si="21"/>
        <v>5.7834380242165265E-2</v>
      </c>
      <c r="AL67" s="59">
        <f t="shared" si="21"/>
        <v>5.4508307669431558E-2</v>
      </c>
      <c r="AM67" s="59">
        <f t="shared" si="21"/>
        <v>5.1341050324215626E-2</v>
      </c>
      <c r="AN67" s="59">
        <f t="shared" si="21"/>
        <v>4.8325670612331437E-2</v>
      </c>
      <c r="AO67" s="59">
        <f t="shared" si="21"/>
        <v>4.5455518535611569E-2</v>
      </c>
      <c r="AP67" s="59">
        <f t="shared" si="21"/>
        <v>4.2724220174458642E-2</v>
      </c>
      <c r="AQ67" s="59">
        <f t="shared" si="21"/>
        <v>4.0125666620474593E-2</v>
      </c>
    </row>
    <row r="68" spans="1:43" x14ac:dyDescent="0.35">
      <c r="B68" s="27"/>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row>
    <row r="69" spans="1:43" s="138" customFormat="1" x14ac:dyDescent="0.35">
      <c r="A69" s="147" t="s">
        <v>77</v>
      </c>
      <c r="E69" s="148"/>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row>
    <row r="70" spans="1:43" x14ac:dyDescent="0.35">
      <c r="B70" s="27" t="s">
        <v>78</v>
      </c>
      <c r="F70" s="51"/>
      <c r="G70" s="60">
        <f>IF(AND(G49&gt;=90000, G83&gt;0), G83, 0)</f>
        <v>0</v>
      </c>
      <c r="H70" s="60"/>
      <c r="I70" s="60">
        <f t="shared" ref="I70:AQ70" si="22">IF(AND(I49&gt;=90000, I83&gt;0), I83, 0)</f>
        <v>0</v>
      </c>
      <c r="J70" s="60">
        <f t="shared" si="22"/>
        <v>0</v>
      </c>
      <c r="K70" s="60">
        <f t="shared" si="22"/>
        <v>0</v>
      </c>
      <c r="L70" s="60">
        <f t="shared" si="22"/>
        <v>0</v>
      </c>
      <c r="M70" s="60">
        <f t="shared" si="22"/>
        <v>0</v>
      </c>
      <c r="N70" s="60">
        <f t="shared" si="22"/>
        <v>0</v>
      </c>
      <c r="O70" s="60">
        <f t="shared" si="22"/>
        <v>0</v>
      </c>
      <c r="P70" s="60">
        <f t="shared" si="22"/>
        <v>0</v>
      </c>
      <c r="Q70" s="60">
        <f t="shared" si="22"/>
        <v>0</v>
      </c>
      <c r="R70" s="60">
        <f t="shared" si="22"/>
        <v>0</v>
      </c>
      <c r="S70" s="60">
        <f t="shared" si="22"/>
        <v>0</v>
      </c>
      <c r="T70" s="60">
        <f t="shared" si="22"/>
        <v>0</v>
      </c>
      <c r="U70" s="60">
        <f t="shared" si="22"/>
        <v>0</v>
      </c>
      <c r="V70" s="60">
        <f t="shared" si="22"/>
        <v>0</v>
      </c>
      <c r="W70" s="60">
        <f t="shared" si="22"/>
        <v>0</v>
      </c>
      <c r="X70" s="60">
        <f t="shared" si="22"/>
        <v>0</v>
      </c>
      <c r="Y70" s="60">
        <f t="shared" si="22"/>
        <v>0</v>
      </c>
      <c r="Z70" s="60">
        <f t="shared" si="22"/>
        <v>0</v>
      </c>
      <c r="AA70" s="60">
        <f t="shared" si="22"/>
        <v>0</v>
      </c>
      <c r="AB70" s="60">
        <f t="shared" si="22"/>
        <v>0</v>
      </c>
      <c r="AC70" s="60">
        <f t="shared" si="22"/>
        <v>0</v>
      </c>
      <c r="AD70" s="60">
        <f t="shared" si="22"/>
        <v>0</v>
      </c>
      <c r="AE70" s="60">
        <f t="shared" si="22"/>
        <v>0</v>
      </c>
      <c r="AF70" s="60">
        <f t="shared" si="22"/>
        <v>0</v>
      </c>
      <c r="AG70" s="60">
        <f t="shared" si="22"/>
        <v>0</v>
      </c>
      <c r="AH70" s="60">
        <f t="shared" si="22"/>
        <v>0</v>
      </c>
      <c r="AI70" s="60">
        <f t="shared" si="22"/>
        <v>0</v>
      </c>
      <c r="AJ70" s="60">
        <f t="shared" si="22"/>
        <v>0</v>
      </c>
      <c r="AK70" s="60">
        <f t="shared" si="22"/>
        <v>0</v>
      </c>
      <c r="AL70" s="60">
        <f t="shared" si="22"/>
        <v>0</v>
      </c>
      <c r="AM70" s="60">
        <f t="shared" si="22"/>
        <v>0</v>
      </c>
      <c r="AN70" s="60">
        <f t="shared" si="22"/>
        <v>0</v>
      </c>
      <c r="AO70" s="60">
        <f t="shared" si="22"/>
        <v>0</v>
      </c>
      <c r="AP70" s="60">
        <f t="shared" si="22"/>
        <v>0</v>
      </c>
      <c r="AQ70" s="60">
        <f t="shared" si="22"/>
        <v>0</v>
      </c>
    </row>
    <row r="71" spans="1:43" x14ac:dyDescent="0.35">
      <c r="B71" s="27" t="s">
        <v>79</v>
      </c>
      <c r="F71" s="51"/>
      <c r="G71" s="60">
        <f>IF(AND(G49&gt;=90000, G84&gt;0), G84, 0)</f>
        <v>0</v>
      </c>
      <c r="H71" s="60"/>
      <c r="I71" s="60">
        <f t="shared" ref="I71:AQ71" si="23">IF(AND(I49&gt;=90000, I84&gt;0), I84, 0)</f>
        <v>0</v>
      </c>
      <c r="J71" s="60">
        <f t="shared" si="23"/>
        <v>0</v>
      </c>
      <c r="K71" s="60">
        <f t="shared" si="23"/>
        <v>0</v>
      </c>
      <c r="L71" s="60">
        <f t="shared" si="23"/>
        <v>0</v>
      </c>
      <c r="M71" s="60">
        <f t="shared" si="23"/>
        <v>0</v>
      </c>
      <c r="N71" s="60">
        <f t="shared" si="23"/>
        <v>0</v>
      </c>
      <c r="O71" s="60">
        <f t="shared" si="23"/>
        <v>0</v>
      </c>
      <c r="P71" s="60">
        <f t="shared" si="23"/>
        <v>0</v>
      </c>
      <c r="Q71" s="60">
        <f t="shared" si="23"/>
        <v>0</v>
      </c>
      <c r="R71" s="60">
        <f t="shared" si="23"/>
        <v>0</v>
      </c>
      <c r="S71" s="60">
        <f t="shared" si="23"/>
        <v>0</v>
      </c>
      <c r="T71" s="60">
        <f t="shared" si="23"/>
        <v>0</v>
      </c>
      <c r="U71" s="60">
        <f t="shared" si="23"/>
        <v>0</v>
      </c>
      <c r="V71" s="60">
        <f t="shared" si="23"/>
        <v>0</v>
      </c>
      <c r="W71" s="60">
        <f t="shared" si="23"/>
        <v>0</v>
      </c>
      <c r="X71" s="60">
        <f t="shared" si="23"/>
        <v>0</v>
      </c>
      <c r="Y71" s="60">
        <f t="shared" si="23"/>
        <v>0</v>
      </c>
      <c r="Z71" s="60">
        <f t="shared" si="23"/>
        <v>0</v>
      </c>
      <c r="AA71" s="60">
        <f t="shared" si="23"/>
        <v>0</v>
      </c>
      <c r="AB71" s="60">
        <f t="shared" si="23"/>
        <v>0</v>
      </c>
      <c r="AC71" s="60">
        <f t="shared" si="23"/>
        <v>0</v>
      </c>
      <c r="AD71" s="60">
        <f t="shared" si="23"/>
        <v>0</v>
      </c>
      <c r="AE71" s="60">
        <f t="shared" si="23"/>
        <v>0</v>
      </c>
      <c r="AF71" s="60">
        <f t="shared" si="23"/>
        <v>0</v>
      </c>
      <c r="AG71" s="60">
        <f t="shared" si="23"/>
        <v>0</v>
      </c>
      <c r="AH71" s="60">
        <f t="shared" si="23"/>
        <v>0</v>
      </c>
      <c r="AI71" s="60">
        <f t="shared" si="23"/>
        <v>0</v>
      </c>
      <c r="AJ71" s="60">
        <f t="shared" si="23"/>
        <v>0</v>
      </c>
      <c r="AK71" s="60">
        <f t="shared" si="23"/>
        <v>0</v>
      </c>
      <c r="AL71" s="60">
        <f t="shared" si="23"/>
        <v>0</v>
      </c>
      <c r="AM71" s="60">
        <f t="shared" si="23"/>
        <v>0</v>
      </c>
      <c r="AN71" s="60">
        <f t="shared" si="23"/>
        <v>0</v>
      </c>
      <c r="AO71" s="60">
        <f t="shared" si="23"/>
        <v>0</v>
      </c>
      <c r="AP71" s="60">
        <f t="shared" si="23"/>
        <v>0</v>
      </c>
      <c r="AQ71" s="60">
        <f t="shared" si="23"/>
        <v>0</v>
      </c>
    </row>
    <row r="72" spans="1:43" x14ac:dyDescent="0.35">
      <c r="B72" s="27" t="s">
        <v>80</v>
      </c>
      <c r="F72" s="51"/>
      <c r="G72" s="60">
        <f>IF(AND(G49&gt;=47000, G49&lt;90000, G87&gt;0), G87, 0)</f>
        <v>3113.8740121954106</v>
      </c>
      <c r="H72" s="60"/>
      <c r="I72" s="60">
        <f t="shared" ref="I72:AQ72" si="24">IF(AND(I49&gt;=47000, I49&lt;90000, I87&gt;0), I87, 0)</f>
        <v>3431.4579776379524</v>
      </c>
      <c r="J72" s="60">
        <f t="shared" si="24"/>
        <v>3641.7965566036382</v>
      </c>
      <c r="K72" s="60">
        <f t="shared" si="24"/>
        <v>3667.1447461156304</v>
      </c>
      <c r="L72" s="60">
        <f t="shared" si="24"/>
        <v>3741.7375429217609</v>
      </c>
      <c r="M72" s="60">
        <f t="shared" si="24"/>
        <v>3853.4657995849684</v>
      </c>
      <c r="N72" s="60">
        <f t="shared" si="24"/>
        <v>3870.6473496636863</v>
      </c>
      <c r="O72" s="60">
        <f t="shared" si="24"/>
        <v>3870.6473496636863</v>
      </c>
      <c r="P72" s="60">
        <f t="shared" si="24"/>
        <v>3870.6473496636863</v>
      </c>
      <c r="Q72" s="60">
        <f t="shared" si="24"/>
        <v>3870.6473496636863</v>
      </c>
      <c r="R72" s="60">
        <f t="shared" si="24"/>
        <v>3870.6473496636872</v>
      </c>
      <c r="S72" s="60">
        <f t="shared" si="24"/>
        <v>3870.6473496636863</v>
      </c>
      <c r="T72" s="60">
        <f t="shared" si="24"/>
        <v>3870.6473496636863</v>
      </c>
      <c r="U72" s="60">
        <f t="shared" si="24"/>
        <v>3870.6473496636863</v>
      </c>
      <c r="V72" s="60">
        <f t="shared" si="24"/>
        <v>3870.6473496636863</v>
      </c>
      <c r="W72" s="60">
        <f t="shared" si="24"/>
        <v>3870.6473496636845</v>
      </c>
      <c r="X72" s="60">
        <f t="shared" si="24"/>
        <v>3870.6473496636836</v>
      </c>
      <c r="Y72" s="60">
        <f t="shared" si="24"/>
        <v>3870.6473496636836</v>
      </c>
      <c r="Z72" s="60">
        <f t="shared" si="24"/>
        <v>3870.6473496636845</v>
      </c>
      <c r="AA72" s="60">
        <f t="shared" si="24"/>
        <v>3870.6473496636845</v>
      </c>
      <c r="AB72" s="60">
        <f t="shared" si="24"/>
        <v>3870.6473496636836</v>
      </c>
      <c r="AC72" s="60">
        <f t="shared" si="24"/>
        <v>3870.6473496636845</v>
      </c>
      <c r="AD72" s="60">
        <f t="shared" si="24"/>
        <v>3870.6473496636827</v>
      </c>
      <c r="AE72" s="60">
        <f t="shared" si="24"/>
        <v>3870.6473496636827</v>
      </c>
      <c r="AF72" s="60">
        <f t="shared" si="24"/>
        <v>3870.6473496636827</v>
      </c>
      <c r="AG72" s="60">
        <f t="shared" si="24"/>
        <v>3870.6473496636809</v>
      </c>
      <c r="AH72" s="60">
        <f t="shared" si="24"/>
        <v>3870.6473496636827</v>
      </c>
      <c r="AI72" s="60">
        <f t="shared" si="24"/>
        <v>3870.6473496636827</v>
      </c>
      <c r="AJ72" s="60">
        <f t="shared" si="24"/>
        <v>3870.6473496636827</v>
      </c>
      <c r="AK72" s="60">
        <f t="shared" si="24"/>
        <v>3870.6473496636845</v>
      </c>
      <c r="AL72" s="60">
        <f t="shared" si="24"/>
        <v>3870.6473496636827</v>
      </c>
      <c r="AM72" s="60">
        <f t="shared" si="24"/>
        <v>3870.6473496636845</v>
      </c>
      <c r="AN72" s="60">
        <f t="shared" si="24"/>
        <v>3870.6473496636845</v>
      </c>
      <c r="AO72" s="60">
        <f t="shared" si="24"/>
        <v>3870.6473496636827</v>
      </c>
      <c r="AP72" s="60">
        <f t="shared" si="24"/>
        <v>3870.6473496636845</v>
      </c>
      <c r="AQ72" s="60">
        <f t="shared" si="24"/>
        <v>3870.6473496636827</v>
      </c>
    </row>
    <row r="73" spans="1:43" x14ac:dyDescent="0.35">
      <c r="B73" s="27" t="s">
        <v>81</v>
      </c>
      <c r="F73" s="51"/>
      <c r="G73" s="60">
        <f>IF(AND(G49&gt;=47000, G49&lt;90000, G88&gt;0), G88, 0)</f>
        <v>2412.6454390179424</v>
      </c>
      <c r="H73" s="60"/>
      <c r="I73" s="60">
        <f t="shared" ref="I73:AQ73" si="25">IF(AND(I49&gt;=47000, I49&lt;90000, I88&gt;0), I88, 0)</f>
        <v>3431.4579776379524</v>
      </c>
      <c r="J73" s="60">
        <f t="shared" si="25"/>
        <v>3641.7965566036382</v>
      </c>
      <c r="K73" s="60">
        <f t="shared" si="25"/>
        <v>3667.1447461156304</v>
      </c>
      <c r="L73" s="60">
        <f t="shared" si="25"/>
        <v>3741.7375429217609</v>
      </c>
      <c r="M73" s="60">
        <f t="shared" si="25"/>
        <v>4471.8029643805294</v>
      </c>
      <c r="N73" s="60">
        <f t="shared" si="25"/>
        <v>4489.156390488195</v>
      </c>
      <c r="O73" s="60">
        <f t="shared" si="25"/>
        <v>4488.6095422106991</v>
      </c>
      <c r="P73" s="60">
        <f t="shared" si="25"/>
        <v>4487.3923824512003</v>
      </c>
      <c r="Q73" s="60">
        <f t="shared" si="25"/>
        <v>4485.5508716344621</v>
      </c>
      <c r="R73" s="60">
        <f t="shared" si="25"/>
        <v>4501.5357588454735</v>
      </c>
      <c r="S73" s="60">
        <f t="shared" si="25"/>
        <v>4470.0043678867796</v>
      </c>
      <c r="T73" s="60">
        <f t="shared" si="25"/>
        <v>4439.8840819468351</v>
      </c>
      <c r="U73" s="60">
        <f t="shared" si="25"/>
        <v>4411.1155217125333</v>
      </c>
      <c r="V73" s="60">
        <f t="shared" si="25"/>
        <v>4383.6417101929492</v>
      </c>
      <c r="W73" s="60">
        <f t="shared" si="25"/>
        <v>4357.4079781467171</v>
      </c>
      <c r="X73" s="60">
        <f t="shared" si="25"/>
        <v>4332.3618731583811</v>
      </c>
      <c r="Y73" s="60">
        <f t="shared" si="25"/>
        <v>4308.4530722252293</v>
      </c>
      <c r="Z73" s="60">
        <f t="shared" si="25"/>
        <v>4285.633297721005</v>
      </c>
      <c r="AA73" s="60">
        <f t="shared" si="25"/>
        <v>4263.8562366081705</v>
      </c>
      <c r="AB73" s="60">
        <f t="shared" si="25"/>
        <v>4243.0774627750925</v>
      </c>
      <c r="AC73" s="60">
        <f t="shared" si="25"/>
        <v>4223.2543623791507</v>
      </c>
      <c r="AD73" s="60">
        <f t="shared" si="25"/>
        <v>4204.3460620813466</v>
      </c>
      <c r="AE73" s="60">
        <f t="shared" si="25"/>
        <v>4186.313360062145</v>
      </c>
      <c r="AF73" s="60">
        <f t="shared" si="25"/>
        <v>4169.1186597126034</v>
      </c>
      <c r="AG73" s="60">
        <f t="shared" si="25"/>
        <v>4152.7259058986492</v>
      </c>
      <c r="AH73" s="60">
        <f t="shared" si="25"/>
        <v>4137.100523700381</v>
      </c>
      <c r="AI73" s="60">
        <f t="shared" si="25"/>
        <v>4122.2093595318238</v>
      </c>
      <c r="AJ73" s="60">
        <f t="shared" si="25"/>
        <v>4108.0206245502395</v>
      </c>
      <c r="AK73" s="60">
        <f t="shared" si="25"/>
        <v>4094.5038402674618</v>
      </c>
      <c r="AL73" s="60">
        <f t="shared" si="25"/>
        <v>4081.6297862790216</v>
      </c>
      <c r="AM73" s="60">
        <f t="shared" si="25"/>
        <v>4069.3704500300591</v>
      </c>
      <c r="AN73" s="60">
        <f t="shared" si="25"/>
        <v>4057.6989785400256</v>
      </c>
      <c r="AO73" s="60">
        <f t="shared" si="25"/>
        <v>4046.5896320111369</v>
      </c>
      <c r="AP73" s="60">
        <f t="shared" si="25"/>
        <v>4036.0177392483993</v>
      </c>
      <c r="AQ73" s="60">
        <f t="shared" si="25"/>
        <v>4025.9596548217114</v>
      </c>
    </row>
    <row r="74" spans="1:43" x14ac:dyDescent="0.35">
      <c r="B74" s="27" t="s">
        <v>82</v>
      </c>
      <c r="G74" s="60">
        <f>IF(AND(G49&lt;=47000, (G93+G104)&gt;0), (G93+G104), 0)</f>
        <v>0</v>
      </c>
      <c r="H74" s="60"/>
      <c r="I74" s="60">
        <f t="shared" ref="I74:AQ74" si="26">IF(AND(I49&lt;=47000, (I93+I104)&gt;0), (I93+I104), 0)</f>
        <v>0</v>
      </c>
      <c r="J74" s="60">
        <f t="shared" si="26"/>
        <v>0</v>
      </c>
      <c r="K74" s="60">
        <f t="shared" si="26"/>
        <v>0</v>
      </c>
      <c r="L74" s="60">
        <f t="shared" si="26"/>
        <v>0</v>
      </c>
      <c r="M74" s="60">
        <f t="shared" si="26"/>
        <v>0</v>
      </c>
      <c r="N74" s="60">
        <f t="shared" si="26"/>
        <v>0</v>
      </c>
      <c r="O74" s="60">
        <f t="shared" si="26"/>
        <v>0</v>
      </c>
      <c r="P74" s="60">
        <f t="shared" si="26"/>
        <v>0</v>
      </c>
      <c r="Q74" s="60">
        <f t="shared" si="26"/>
        <v>0</v>
      </c>
      <c r="R74" s="60">
        <f t="shared" si="26"/>
        <v>0</v>
      </c>
      <c r="S74" s="60">
        <f t="shared" si="26"/>
        <v>0</v>
      </c>
      <c r="T74" s="60">
        <f t="shared" si="26"/>
        <v>0</v>
      </c>
      <c r="U74" s="60">
        <f t="shared" si="26"/>
        <v>0</v>
      </c>
      <c r="V74" s="60">
        <f t="shared" si="26"/>
        <v>0</v>
      </c>
      <c r="W74" s="60">
        <f t="shared" si="26"/>
        <v>0</v>
      </c>
      <c r="X74" s="60">
        <f t="shared" si="26"/>
        <v>0</v>
      </c>
      <c r="Y74" s="60">
        <f t="shared" si="26"/>
        <v>0</v>
      </c>
      <c r="Z74" s="60">
        <f t="shared" si="26"/>
        <v>0</v>
      </c>
      <c r="AA74" s="60">
        <f t="shared" si="26"/>
        <v>0</v>
      </c>
      <c r="AB74" s="60">
        <f t="shared" si="26"/>
        <v>0</v>
      </c>
      <c r="AC74" s="60">
        <f t="shared" si="26"/>
        <v>0</v>
      </c>
      <c r="AD74" s="60">
        <f t="shared" si="26"/>
        <v>0</v>
      </c>
      <c r="AE74" s="60">
        <f t="shared" si="26"/>
        <v>0</v>
      </c>
      <c r="AF74" s="60">
        <f t="shared" si="26"/>
        <v>0</v>
      </c>
      <c r="AG74" s="60">
        <f t="shared" si="26"/>
        <v>0</v>
      </c>
      <c r="AH74" s="60">
        <f t="shared" si="26"/>
        <v>0</v>
      </c>
      <c r="AI74" s="60">
        <f t="shared" si="26"/>
        <v>0</v>
      </c>
      <c r="AJ74" s="60">
        <f t="shared" si="26"/>
        <v>0</v>
      </c>
      <c r="AK74" s="60">
        <f t="shared" si="26"/>
        <v>0</v>
      </c>
      <c r="AL74" s="60">
        <f t="shared" si="26"/>
        <v>0</v>
      </c>
      <c r="AM74" s="60">
        <f t="shared" si="26"/>
        <v>0</v>
      </c>
      <c r="AN74" s="60">
        <f t="shared" si="26"/>
        <v>0</v>
      </c>
      <c r="AO74" s="60">
        <f t="shared" si="26"/>
        <v>0</v>
      </c>
      <c r="AP74" s="60">
        <f t="shared" si="26"/>
        <v>0</v>
      </c>
      <c r="AQ74" s="60">
        <f t="shared" si="26"/>
        <v>0</v>
      </c>
    </row>
    <row r="75" spans="1:43" x14ac:dyDescent="0.35">
      <c r="B75" s="27" t="s">
        <v>83</v>
      </c>
      <c r="G75" s="60">
        <f>IF(AND(G49&lt;=47000, (G96+G105)&gt;0), (G96+G105), 0)</f>
        <v>0</v>
      </c>
      <c r="H75" s="60"/>
      <c r="I75" s="60">
        <f t="shared" ref="I75:AQ75" si="27">IF(AND(I49&lt;=47000, (I96+I105)&gt;0), (I96+I105), 0)</f>
        <v>0</v>
      </c>
      <c r="J75" s="60">
        <f t="shared" si="27"/>
        <v>0</v>
      </c>
      <c r="K75" s="60">
        <f t="shared" si="27"/>
        <v>0</v>
      </c>
      <c r="L75" s="60">
        <f t="shared" si="27"/>
        <v>0</v>
      </c>
      <c r="M75" s="60">
        <f t="shared" si="27"/>
        <v>0</v>
      </c>
      <c r="N75" s="60">
        <f t="shared" si="27"/>
        <v>0</v>
      </c>
      <c r="O75" s="60">
        <f t="shared" si="27"/>
        <v>0</v>
      </c>
      <c r="P75" s="60">
        <f t="shared" si="27"/>
        <v>0</v>
      </c>
      <c r="Q75" s="60">
        <f t="shared" si="27"/>
        <v>0</v>
      </c>
      <c r="R75" s="60">
        <f t="shared" si="27"/>
        <v>0</v>
      </c>
      <c r="S75" s="60">
        <f t="shared" si="27"/>
        <v>0</v>
      </c>
      <c r="T75" s="60">
        <f t="shared" si="27"/>
        <v>0</v>
      </c>
      <c r="U75" s="60">
        <f t="shared" si="27"/>
        <v>0</v>
      </c>
      <c r="V75" s="60">
        <f t="shared" si="27"/>
        <v>0</v>
      </c>
      <c r="W75" s="60">
        <f t="shared" si="27"/>
        <v>0</v>
      </c>
      <c r="X75" s="60">
        <f t="shared" si="27"/>
        <v>0</v>
      </c>
      <c r="Y75" s="60">
        <f t="shared" si="27"/>
        <v>0</v>
      </c>
      <c r="Z75" s="60">
        <f t="shared" si="27"/>
        <v>0</v>
      </c>
      <c r="AA75" s="60">
        <f t="shared" si="27"/>
        <v>0</v>
      </c>
      <c r="AB75" s="60">
        <f t="shared" si="27"/>
        <v>0</v>
      </c>
      <c r="AC75" s="60">
        <f t="shared" si="27"/>
        <v>0</v>
      </c>
      <c r="AD75" s="60">
        <f t="shared" si="27"/>
        <v>0</v>
      </c>
      <c r="AE75" s="60">
        <f t="shared" si="27"/>
        <v>0</v>
      </c>
      <c r="AF75" s="60">
        <f t="shared" si="27"/>
        <v>0</v>
      </c>
      <c r="AG75" s="60">
        <f t="shared" si="27"/>
        <v>0</v>
      </c>
      <c r="AH75" s="60">
        <f t="shared" si="27"/>
        <v>0</v>
      </c>
      <c r="AI75" s="60">
        <f t="shared" si="27"/>
        <v>0</v>
      </c>
      <c r="AJ75" s="60">
        <f t="shared" si="27"/>
        <v>0</v>
      </c>
      <c r="AK75" s="60">
        <f t="shared" si="27"/>
        <v>0</v>
      </c>
      <c r="AL75" s="60">
        <f t="shared" si="27"/>
        <v>0</v>
      </c>
      <c r="AM75" s="60">
        <f t="shared" si="27"/>
        <v>0</v>
      </c>
      <c r="AN75" s="60">
        <f t="shared" si="27"/>
        <v>0</v>
      </c>
      <c r="AO75" s="60">
        <f t="shared" si="27"/>
        <v>0</v>
      </c>
      <c r="AP75" s="60">
        <f t="shared" si="27"/>
        <v>0</v>
      </c>
      <c r="AQ75" s="60">
        <f t="shared" si="27"/>
        <v>0</v>
      </c>
    </row>
    <row r="76" spans="1:43" x14ac:dyDescent="0.35">
      <c r="B76" s="27" t="s">
        <v>112</v>
      </c>
      <c r="G76" s="62">
        <f>IF(G107&gt;=5600, 5600, G107)</f>
        <v>3113.8740121954106</v>
      </c>
      <c r="H76" s="62"/>
      <c r="I76" s="62">
        <f>IF(I107&gt;=5600, 5600, I107)</f>
        <v>3431.4579776379524</v>
      </c>
      <c r="J76" s="62">
        <f t="shared" ref="J76:AQ77" si="28">IF(J107&gt;=5600, 5600, J107)</f>
        <v>3641.7965566036382</v>
      </c>
      <c r="K76" s="62">
        <f t="shared" si="28"/>
        <v>3667.1447461156304</v>
      </c>
      <c r="L76" s="62">
        <f t="shared" si="28"/>
        <v>3741.7375429217609</v>
      </c>
      <c r="M76" s="62">
        <f t="shared" si="28"/>
        <v>3853.4657995849684</v>
      </c>
      <c r="N76" s="62">
        <f t="shared" si="28"/>
        <v>3870.6473496636863</v>
      </c>
      <c r="O76" s="62">
        <f t="shared" si="28"/>
        <v>3870.6473496636863</v>
      </c>
      <c r="P76" s="62">
        <f t="shared" si="28"/>
        <v>3870.6473496636863</v>
      </c>
      <c r="Q76" s="62">
        <f t="shared" si="28"/>
        <v>3870.6473496636863</v>
      </c>
      <c r="R76" s="62">
        <f t="shared" si="28"/>
        <v>3870.6473496636872</v>
      </c>
      <c r="S76" s="62">
        <f t="shared" si="28"/>
        <v>3870.6473496636863</v>
      </c>
      <c r="T76" s="62">
        <f t="shared" si="28"/>
        <v>3870.6473496636863</v>
      </c>
      <c r="U76" s="62">
        <f t="shared" si="28"/>
        <v>3870.6473496636863</v>
      </c>
      <c r="V76" s="62">
        <f t="shared" si="28"/>
        <v>3870.6473496636863</v>
      </c>
      <c r="W76" s="62">
        <f t="shared" si="28"/>
        <v>3870.6473496636845</v>
      </c>
      <c r="X76" s="62">
        <f t="shared" si="28"/>
        <v>3870.6473496636836</v>
      </c>
      <c r="Y76" s="62">
        <f t="shared" si="28"/>
        <v>3870.6473496636836</v>
      </c>
      <c r="Z76" s="62">
        <f t="shared" si="28"/>
        <v>3870.6473496636845</v>
      </c>
      <c r="AA76" s="62">
        <f t="shared" si="28"/>
        <v>3870.6473496636845</v>
      </c>
      <c r="AB76" s="62">
        <f t="shared" si="28"/>
        <v>3870.6473496636836</v>
      </c>
      <c r="AC76" s="62">
        <f t="shared" si="28"/>
        <v>3870.6473496636845</v>
      </c>
      <c r="AD76" s="62">
        <f t="shared" si="28"/>
        <v>3870.6473496636827</v>
      </c>
      <c r="AE76" s="62">
        <f t="shared" si="28"/>
        <v>3870.6473496636827</v>
      </c>
      <c r="AF76" s="62">
        <f t="shared" si="28"/>
        <v>3870.6473496636827</v>
      </c>
      <c r="AG76" s="62">
        <f t="shared" si="28"/>
        <v>3870.6473496636809</v>
      </c>
      <c r="AH76" s="62">
        <f t="shared" si="28"/>
        <v>3870.6473496636827</v>
      </c>
      <c r="AI76" s="62">
        <f t="shared" si="28"/>
        <v>3870.6473496636827</v>
      </c>
      <c r="AJ76" s="62">
        <f t="shared" si="28"/>
        <v>3870.6473496636827</v>
      </c>
      <c r="AK76" s="62">
        <f t="shared" si="28"/>
        <v>3870.6473496636845</v>
      </c>
      <c r="AL76" s="62">
        <f t="shared" si="28"/>
        <v>3870.6473496636827</v>
      </c>
      <c r="AM76" s="62">
        <f t="shared" si="28"/>
        <v>3870.6473496636845</v>
      </c>
      <c r="AN76" s="62">
        <f t="shared" si="28"/>
        <v>3870.6473496636845</v>
      </c>
      <c r="AO76" s="62">
        <f t="shared" si="28"/>
        <v>3870.6473496636827</v>
      </c>
      <c r="AP76" s="62">
        <f t="shared" si="28"/>
        <v>3870.6473496636845</v>
      </c>
      <c r="AQ76" s="62">
        <f t="shared" si="28"/>
        <v>3870.6473496636827</v>
      </c>
    </row>
    <row r="77" spans="1:43" x14ac:dyDescent="0.35">
      <c r="B77" s="27" t="s">
        <v>113</v>
      </c>
      <c r="G77" s="62">
        <f>IF(G108&gt;=5600, 5600, G108)</f>
        <v>2412.6454390179424</v>
      </c>
      <c r="H77" s="62"/>
      <c r="I77" s="62">
        <f>IF(I108&gt;=5600, 5600, I108)</f>
        <v>3431.4579776379524</v>
      </c>
      <c r="J77" s="62">
        <f>IF(J108&gt;=5600, 5600, J108)</f>
        <v>3641.7965566036382</v>
      </c>
      <c r="K77" s="62">
        <f t="shared" si="28"/>
        <v>3667.1447461156304</v>
      </c>
      <c r="L77" s="62">
        <f t="shared" si="28"/>
        <v>3741.7375429217609</v>
      </c>
      <c r="M77" s="62">
        <f t="shared" si="28"/>
        <v>4471.8029643805294</v>
      </c>
      <c r="N77" s="62">
        <f t="shared" si="28"/>
        <v>4489.156390488195</v>
      </c>
      <c r="O77" s="62">
        <f t="shared" si="28"/>
        <v>4488.6095422106991</v>
      </c>
      <c r="P77" s="62">
        <f t="shared" si="28"/>
        <v>4487.3923824512003</v>
      </c>
      <c r="Q77" s="62">
        <f t="shared" si="28"/>
        <v>4485.5508716344621</v>
      </c>
      <c r="R77" s="62">
        <f t="shared" si="28"/>
        <v>4501.5357588454735</v>
      </c>
      <c r="S77" s="62">
        <f t="shared" si="28"/>
        <v>4470.0043678867796</v>
      </c>
      <c r="T77" s="62">
        <f t="shared" si="28"/>
        <v>4439.8840819468351</v>
      </c>
      <c r="U77" s="62">
        <f t="shared" si="28"/>
        <v>4411.1155217125333</v>
      </c>
      <c r="V77" s="62">
        <f t="shared" si="28"/>
        <v>4383.6417101929492</v>
      </c>
      <c r="W77" s="62">
        <f t="shared" si="28"/>
        <v>4357.4079781467171</v>
      </c>
      <c r="X77" s="62">
        <f t="shared" si="28"/>
        <v>4332.3618731583811</v>
      </c>
      <c r="Y77" s="62">
        <f t="shared" si="28"/>
        <v>4308.4530722252293</v>
      </c>
      <c r="Z77" s="62">
        <f t="shared" si="28"/>
        <v>4285.633297721005</v>
      </c>
      <c r="AA77" s="62">
        <f t="shared" si="28"/>
        <v>4263.8562366081705</v>
      </c>
      <c r="AB77" s="62">
        <f t="shared" si="28"/>
        <v>4243.0774627750925</v>
      </c>
      <c r="AC77" s="62">
        <f t="shared" si="28"/>
        <v>4223.2543623791507</v>
      </c>
      <c r="AD77" s="62">
        <f t="shared" si="28"/>
        <v>4204.3460620813466</v>
      </c>
      <c r="AE77" s="62">
        <f t="shared" si="28"/>
        <v>4186.313360062145</v>
      </c>
      <c r="AF77" s="62">
        <f t="shared" si="28"/>
        <v>4169.1186597126034</v>
      </c>
      <c r="AG77" s="62">
        <f t="shared" si="28"/>
        <v>4152.7259058986492</v>
      </c>
      <c r="AH77" s="62">
        <f t="shared" si="28"/>
        <v>4137.100523700381</v>
      </c>
      <c r="AI77" s="62">
        <f t="shared" si="28"/>
        <v>4122.2093595318238</v>
      </c>
      <c r="AJ77" s="62">
        <f t="shared" si="28"/>
        <v>4108.0206245502395</v>
      </c>
      <c r="AK77" s="62">
        <f t="shared" si="28"/>
        <v>4094.5038402674618</v>
      </c>
      <c r="AL77" s="62">
        <f t="shared" si="28"/>
        <v>4081.6297862790216</v>
      </c>
      <c r="AM77" s="62">
        <f t="shared" si="28"/>
        <v>4069.3704500300591</v>
      </c>
      <c r="AN77" s="62">
        <f t="shared" si="28"/>
        <v>4057.6989785400256</v>
      </c>
      <c r="AO77" s="62">
        <f t="shared" si="28"/>
        <v>4046.5896320111369</v>
      </c>
      <c r="AP77" s="62">
        <f t="shared" si="28"/>
        <v>4036.0177392483993</v>
      </c>
      <c r="AQ77" s="62">
        <f t="shared" si="28"/>
        <v>4025.9596548217114</v>
      </c>
    </row>
    <row r="78" spans="1:43" x14ac:dyDescent="0.35">
      <c r="B78" s="27" t="s">
        <v>117</v>
      </c>
      <c r="G78" s="62">
        <f>IF(G101&gt;=2400, 2400, G101)</f>
        <v>2400</v>
      </c>
      <c r="H78" s="62"/>
      <c r="I78" s="62">
        <f>IF(I101&gt;=2400, 2400, I101)</f>
        <v>2400</v>
      </c>
      <c r="J78" s="62">
        <f t="shared" ref="J78:AQ78" si="29">IF(J101&gt;=2400, 2400, J101)</f>
        <v>2400</v>
      </c>
      <c r="K78" s="62">
        <f t="shared" si="29"/>
        <v>2400</v>
      </c>
      <c r="L78" s="62">
        <f t="shared" si="29"/>
        <v>2400</v>
      </c>
      <c r="M78" s="62">
        <f t="shared" si="29"/>
        <v>2400</v>
      </c>
      <c r="N78" s="62">
        <f t="shared" si="29"/>
        <v>2400</v>
      </c>
      <c r="O78" s="62">
        <f t="shared" si="29"/>
        <v>2400</v>
      </c>
      <c r="P78" s="62">
        <f t="shared" si="29"/>
        <v>2400</v>
      </c>
      <c r="Q78" s="62">
        <f t="shared" si="29"/>
        <v>2400</v>
      </c>
      <c r="R78" s="62">
        <f t="shared" si="29"/>
        <v>2400</v>
      </c>
      <c r="S78" s="62">
        <f t="shared" si="29"/>
        <v>2400</v>
      </c>
      <c r="T78" s="62">
        <f t="shared" si="29"/>
        <v>2400</v>
      </c>
      <c r="U78" s="62">
        <f t="shared" si="29"/>
        <v>2400</v>
      </c>
      <c r="V78" s="62">
        <f t="shared" si="29"/>
        <v>2400</v>
      </c>
      <c r="W78" s="62">
        <f t="shared" si="29"/>
        <v>2400</v>
      </c>
      <c r="X78" s="62">
        <f t="shared" si="29"/>
        <v>2400</v>
      </c>
      <c r="Y78" s="62">
        <f t="shared" si="29"/>
        <v>2400</v>
      </c>
      <c r="Z78" s="62">
        <f t="shared" si="29"/>
        <v>2400</v>
      </c>
      <c r="AA78" s="62">
        <f t="shared" si="29"/>
        <v>2400</v>
      </c>
      <c r="AB78" s="62">
        <f t="shared" si="29"/>
        <v>2400</v>
      </c>
      <c r="AC78" s="62">
        <f t="shared" si="29"/>
        <v>2400</v>
      </c>
      <c r="AD78" s="62">
        <f t="shared" si="29"/>
        <v>2400</v>
      </c>
      <c r="AE78" s="62">
        <f t="shared" si="29"/>
        <v>2400</v>
      </c>
      <c r="AF78" s="62">
        <f t="shared" si="29"/>
        <v>2400</v>
      </c>
      <c r="AG78" s="62">
        <f t="shared" si="29"/>
        <v>2400</v>
      </c>
      <c r="AH78" s="62">
        <f t="shared" si="29"/>
        <v>2400</v>
      </c>
      <c r="AI78" s="62">
        <f t="shared" si="29"/>
        <v>2400</v>
      </c>
      <c r="AJ78" s="62">
        <f t="shared" si="29"/>
        <v>2400</v>
      </c>
      <c r="AK78" s="62">
        <f t="shared" si="29"/>
        <v>2400</v>
      </c>
      <c r="AL78" s="62">
        <f t="shared" si="29"/>
        <v>2400</v>
      </c>
      <c r="AM78" s="62">
        <f t="shared" si="29"/>
        <v>2400</v>
      </c>
      <c r="AN78" s="62">
        <f t="shared" si="29"/>
        <v>2400</v>
      </c>
      <c r="AO78" s="62">
        <f t="shared" si="29"/>
        <v>2400</v>
      </c>
      <c r="AP78" s="62">
        <f t="shared" si="29"/>
        <v>2400</v>
      </c>
      <c r="AQ78" s="62">
        <f t="shared" si="29"/>
        <v>2400</v>
      </c>
    </row>
    <row r="79" spans="1:43" x14ac:dyDescent="0.35">
      <c r="B79" s="27"/>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row>
    <row r="80" spans="1:43" s="138" customFormat="1" x14ac:dyDescent="0.35">
      <c r="B80" s="150" t="s">
        <v>95</v>
      </c>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row>
    <row r="81" spans="2:43" x14ac:dyDescent="0.35">
      <c r="B81" s="53" t="s">
        <v>94</v>
      </c>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row>
    <row r="82" spans="2:43" x14ac:dyDescent="0.35">
      <c r="B82" s="52" t="s">
        <v>90</v>
      </c>
      <c r="G82" s="62">
        <f>IF((G50-225000)&gt;0,(G50-225000),0)</f>
        <v>324882.16810683429</v>
      </c>
      <c r="H82" s="62"/>
      <c r="I82" s="62">
        <f t="shared" ref="I82:AQ82" si="30">IF((I50-225000)&gt;0,(I50-225000),0)</f>
        <v>324882.16810683429</v>
      </c>
      <c r="J82" s="62">
        <f t="shared" si="30"/>
        <v>324882.16810683429</v>
      </c>
      <c r="K82" s="62">
        <f t="shared" si="30"/>
        <v>324882.16810683429</v>
      </c>
      <c r="L82" s="62">
        <f t="shared" si="30"/>
        <v>324882.16810683429</v>
      </c>
      <c r="M82" s="62">
        <f t="shared" si="30"/>
        <v>324882.16810683429</v>
      </c>
      <c r="N82" s="62">
        <f t="shared" si="30"/>
        <v>324882.16810683429</v>
      </c>
      <c r="O82" s="62">
        <f t="shared" si="30"/>
        <v>324882.16810683429</v>
      </c>
      <c r="P82" s="62">
        <f t="shared" si="30"/>
        <v>324882.16810683429</v>
      </c>
      <c r="Q82" s="62">
        <f t="shared" si="30"/>
        <v>324882.16810683429</v>
      </c>
      <c r="R82" s="62">
        <f t="shared" si="30"/>
        <v>324882.16810683429</v>
      </c>
      <c r="S82" s="62">
        <f t="shared" si="30"/>
        <v>324882.16810683429</v>
      </c>
      <c r="T82" s="62">
        <f t="shared" si="30"/>
        <v>324882.16810683429</v>
      </c>
      <c r="U82" s="62">
        <f t="shared" si="30"/>
        <v>324882.16810683429</v>
      </c>
      <c r="V82" s="62">
        <f t="shared" si="30"/>
        <v>324882.16810683429</v>
      </c>
      <c r="W82" s="62">
        <f t="shared" si="30"/>
        <v>324882.16810683429</v>
      </c>
      <c r="X82" s="62">
        <f t="shared" si="30"/>
        <v>324882.16810683429</v>
      </c>
      <c r="Y82" s="62">
        <f t="shared" si="30"/>
        <v>324882.16810683429</v>
      </c>
      <c r="Z82" s="62">
        <f t="shared" si="30"/>
        <v>324882.16810683429</v>
      </c>
      <c r="AA82" s="62">
        <f t="shared" si="30"/>
        <v>324882.16810683429</v>
      </c>
      <c r="AB82" s="62">
        <f t="shared" si="30"/>
        <v>324882.16810683429</v>
      </c>
      <c r="AC82" s="62">
        <f t="shared" si="30"/>
        <v>324882.16810683429</v>
      </c>
      <c r="AD82" s="62">
        <f t="shared" si="30"/>
        <v>324882.16810683429</v>
      </c>
      <c r="AE82" s="62">
        <f t="shared" si="30"/>
        <v>324882.16810683429</v>
      </c>
      <c r="AF82" s="62">
        <f t="shared" si="30"/>
        <v>324882.16810683429</v>
      </c>
      <c r="AG82" s="62">
        <f t="shared" si="30"/>
        <v>324882.16810683429</v>
      </c>
      <c r="AH82" s="62">
        <f t="shared" si="30"/>
        <v>324882.16810683429</v>
      </c>
      <c r="AI82" s="62">
        <f t="shared" si="30"/>
        <v>324882.16810683429</v>
      </c>
      <c r="AJ82" s="62">
        <f t="shared" si="30"/>
        <v>324882.16810683429</v>
      </c>
      <c r="AK82" s="62">
        <f t="shared" si="30"/>
        <v>324882.16810683429</v>
      </c>
      <c r="AL82" s="62">
        <f t="shared" si="30"/>
        <v>324882.16810683429</v>
      </c>
      <c r="AM82" s="62">
        <f t="shared" si="30"/>
        <v>324882.16810683429</v>
      </c>
      <c r="AN82" s="62">
        <f t="shared" si="30"/>
        <v>324882.16810683429</v>
      </c>
      <c r="AO82" s="62">
        <f t="shared" si="30"/>
        <v>324882.16810683429</v>
      </c>
      <c r="AP82" s="62">
        <f t="shared" si="30"/>
        <v>324882.16810683429</v>
      </c>
      <c r="AQ82" s="62">
        <f t="shared" si="30"/>
        <v>324882.16810683429</v>
      </c>
    </row>
    <row r="83" spans="2:43" x14ac:dyDescent="0.35">
      <c r="B83" s="52" t="s">
        <v>85</v>
      </c>
      <c r="G83" s="62">
        <f>G64-(((G30*G49/100))+(G82*G43/100))</f>
        <v>690.40341332571006</v>
      </c>
      <c r="H83" s="62"/>
      <c r="I83" s="62">
        <f t="shared" ref="I83:AQ83" si="31">I64-(((I30*I49/100))+(I82*I43/100))</f>
        <v>767.43362999866986</v>
      </c>
      <c r="J83" s="62">
        <f t="shared" si="31"/>
        <v>807.4535975025774</v>
      </c>
      <c r="K83" s="62">
        <f t="shared" si="31"/>
        <v>813.07375955542921</v>
      </c>
      <c r="L83" s="62">
        <f t="shared" si="31"/>
        <v>829.6123610925406</v>
      </c>
      <c r="M83" s="62">
        <f t="shared" si="31"/>
        <v>854.38458034839459</v>
      </c>
      <c r="N83" s="62">
        <f t="shared" si="31"/>
        <v>858.19404751826551</v>
      </c>
      <c r="O83" s="62">
        <f t="shared" si="31"/>
        <v>858.19404751826551</v>
      </c>
      <c r="P83" s="62">
        <f t="shared" si="31"/>
        <v>858.19404751826551</v>
      </c>
      <c r="Q83" s="62">
        <f t="shared" si="31"/>
        <v>858.19404751826551</v>
      </c>
      <c r="R83" s="62">
        <f t="shared" si="31"/>
        <v>858.19404751826551</v>
      </c>
      <c r="S83" s="62">
        <f t="shared" si="31"/>
        <v>858.19404751826551</v>
      </c>
      <c r="T83" s="62">
        <f t="shared" si="31"/>
        <v>858.19404751826551</v>
      </c>
      <c r="U83" s="62">
        <f t="shared" si="31"/>
        <v>858.19404751826551</v>
      </c>
      <c r="V83" s="62">
        <f t="shared" si="31"/>
        <v>858.19404751826551</v>
      </c>
      <c r="W83" s="62">
        <f t="shared" si="31"/>
        <v>858.19404751826551</v>
      </c>
      <c r="X83" s="62">
        <f t="shared" si="31"/>
        <v>858.19404751826369</v>
      </c>
      <c r="Y83" s="62">
        <f t="shared" si="31"/>
        <v>858.19404751826369</v>
      </c>
      <c r="Z83" s="62">
        <f t="shared" si="31"/>
        <v>858.19404751826551</v>
      </c>
      <c r="AA83" s="62">
        <f t="shared" si="31"/>
        <v>858.19404751826369</v>
      </c>
      <c r="AB83" s="62">
        <f t="shared" si="31"/>
        <v>858.19404751826369</v>
      </c>
      <c r="AC83" s="62">
        <f t="shared" si="31"/>
        <v>858.19404751826551</v>
      </c>
      <c r="AD83" s="62">
        <f t="shared" si="31"/>
        <v>858.19404751826551</v>
      </c>
      <c r="AE83" s="62">
        <f t="shared" si="31"/>
        <v>858.19404751826369</v>
      </c>
      <c r="AF83" s="62">
        <f t="shared" si="31"/>
        <v>858.19404751826369</v>
      </c>
      <c r="AG83" s="62">
        <f t="shared" si="31"/>
        <v>858.19404751826369</v>
      </c>
      <c r="AH83" s="62">
        <f t="shared" si="31"/>
        <v>858.19404751826551</v>
      </c>
      <c r="AI83" s="62">
        <f t="shared" si="31"/>
        <v>858.19404751826551</v>
      </c>
      <c r="AJ83" s="62">
        <f t="shared" si="31"/>
        <v>858.19404751826551</v>
      </c>
      <c r="AK83" s="62">
        <f t="shared" si="31"/>
        <v>858.19404751826551</v>
      </c>
      <c r="AL83" s="62">
        <f t="shared" si="31"/>
        <v>858.19404751826551</v>
      </c>
      <c r="AM83" s="62">
        <f t="shared" si="31"/>
        <v>858.19404751826551</v>
      </c>
      <c r="AN83" s="62">
        <f t="shared" si="31"/>
        <v>858.19404751826551</v>
      </c>
      <c r="AO83" s="62">
        <f t="shared" si="31"/>
        <v>858.19404751826551</v>
      </c>
      <c r="AP83" s="62">
        <f t="shared" si="31"/>
        <v>858.19404751826551</v>
      </c>
      <c r="AQ83" s="62">
        <f t="shared" si="31"/>
        <v>858.19404751826551</v>
      </c>
    </row>
    <row r="84" spans="2:43" x14ac:dyDescent="0.35">
      <c r="B84" s="52" t="s">
        <v>86</v>
      </c>
      <c r="G84" s="62">
        <f>G65-((G31*G49/100)+(G82*G44/100))</f>
        <v>-10.825159851758144</v>
      </c>
      <c r="H84" s="62"/>
      <c r="I84" s="62">
        <f t="shared" ref="I84:AQ84" si="32">I65-((I31*I49/100)+(I82*I44/100))</f>
        <v>767.43362999866986</v>
      </c>
      <c r="J84" s="62">
        <f t="shared" si="32"/>
        <v>807.4535975025774</v>
      </c>
      <c r="K84" s="62">
        <f t="shared" si="32"/>
        <v>813.07375955542921</v>
      </c>
      <c r="L84" s="62">
        <f t="shared" si="32"/>
        <v>829.6123610925406</v>
      </c>
      <c r="M84" s="62">
        <f t="shared" si="32"/>
        <v>991.48135673981051</v>
      </c>
      <c r="N84" s="62">
        <f t="shared" si="32"/>
        <v>995.32893200159197</v>
      </c>
      <c r="O84" s="62">
        <f t="shared" si="32"/>
        <v>995.2076856326421</v>
      </c>
      <c r="P84" s="62">
        <f t="shared" si="32"/>
        <v>994.93781882067742</v>
      </c>
      <c r="Q84" s="62">
        <f t="shared" si="32"/>
        <v>994.52952184123387</v>
      </c>
      <c r="R84" s="62">
        <f t="shared" si="32"/>
        <v>998.07366673884098</v>
      </c>
      <c r="S84" s="62">
        <f t="shared" si="32"/>
        <v>991.08257465883435</v>
      </c>
      <c r="T84" s="62">
        <f t="shared" si="32"/>
        <v>984.40435063890436</v>
      </c>
      <c r="U84" s="62">
        <f t="shared" si="32"/>
        <v>978.02582918799271</v>
      </c>
      <c r="V84" s="62">
        <f t="shared" si="32"/>
        <v>971.9343774542649</v>
      </c>
      <c r="W84" s="62">
        <f t="shared" si="32"/>
        <v>966.11787425662442</v>
      </c>
      <c r="X84" s="62">
        <f t="shared" si="32"/>
        <v>960.56468992522969</v>
      </c>
      <c r="Y84" s="62">
        <f t="shared" si="32"/>
        <v>955.26366692040392</v>
      </c>
      <c r="Z84" s="62">
        <f t="shared" si="32"/>
        <v>950.20410120023189</v>
      </c>
      <c r="AA84" s="62">
        <f t="shared" si="32"/>
        <v>945.37572430841647</v>
      </c>
      <c r="AB84" s="62">
        <f t="shared" si="32"/>
        <v>940.76868615501371</v>
      </c>
      <c r="AC84" s="62">
        <f t="shared" si="32"/>
        <v>936.37353846359838</v>
      </c>
      <c r="AD84" s="62">
        <f t="shared" si="32"/>
        <v>932.18121885957225</v>
      </c>
      <c r="AE84" s="62">
        <f t="shared" si="32"/>
        <v>928.18303557509171</v>
      </c>
      <c r="AF84" s="62">
        <f t="shared" si="32"/>
        <v>924.3706527471586</v>
      </c>
      <c r="AG84" s="62">
        <f t="shared" si="32"/>
        <v>920.73607628624995</v>
      </c>
      <c r="AH84" s="62">
        <f t="shared" si="32"/>
        <v>917.27164029366941</v>
      </c>
      <c r="AI84" s="62">
        <f t="shared" si="32"/>
        <v>913.96999400673303</v>
      </c>
      <c r="AJ84" s="62">
        <f t="shared" si="32"/>
        <v>910.8240892515314</v>
      </c>
      <c r="AK84" s="62">
        <f t="shared" si="32"/>
        <v>907.82716838399756</v>
      </c>
      <c r="AL84" s="62">
        <f t="shared" si="32"/>
        <v>904.97275270046521</v>
      </c>
      <c r="AM84" s="62">
        <f t="shared" si="32"/>
        <v>902.254631299842</v>
      </c>
      <c r="AN84" s="62">
        <f t="shared" si="32"/>
        <v>899.66685038009746</v>
      </c>
      <c r="AO84" s="62">
        <f t="shared" si="32"/>
        <v>897.20370295238354</v>
      </c>
      <c r="AP84" s="62">
        <f t="shared" si="32"/>
        <v>894.85971895684452</v>
      </c>
      <c r="AQ84" s="62">
        <f t="shared" si="32"/>
        <v>892.62965576465831</v>
      </c>
    </row>
    <row r="85" spans="2:43" x14ac:dyDescent="0.35">
      <c r="B85" s="53" t="s">
        <v>114</v>
      </c>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row>
    <row r="86" spans="2:43" x14ac:dyDescent="0.35">
      <c r="B86" s="52" t="s">
        <v>91</v>
      </c>
      <c r="G86" s="62">
        <f>IF((G50-400000)&gt;0,(G50-400000),0)</f>
        <v>149882.16810683429</v>
      </c>
      <c r="H86" s="62"/>
      <c r="I86" s="62">
        <f t="shared" ref="I86:AQ86" si="33">IF((I50-400000)&gt;0,(I50-400000),0)</f>
        <v>149882.16810683429</v>
      </c>
      <c r="J86" s="62">
        <f t="shared" si="33"/>
        <v>149882.16810683429</v>
      </c>
      <c r="K86" s="62">
        <f t="shared" si="33"/>
        <v>149882.16810683429</v>
      </c>
      <c r="L86" s="62">
        <f t="shared" si="33"/>
        <v>149882.16810683429</v>
      </c>
      <c r="M86" s="62">
        <f t="shared" si="33"/>
        <v>149882.16810683429</v>
      </c>
      <c r="N86" s="62">
        <f t="shared" si="33"/>
        <v>149882.16810683429</v>
      </c>
      <c r="O86" s="62">
        <f t="shared" si="33"/>
        <v>149882.16810683429</v>
      </c>
      <c r="P86" s="62">
        <f t="shared" si="33"/>
        <v>149882.16810683429</v>
      </c>
      <c r="Q86" s="62">
        <f t="shared" si="33"/>
        <v>149882.16810683429</v>
      </c>
      <c r="R86" s="62">
        <f t="shared" si="33"/>
        <v>149882.16810683429</v>
      </c>
      <c r="S86" s="62">
        <f t="shared" si="33"/>
        <v>149882.16810683429</v>
      </c>
      <c r="T86" s="62">
        <f t="shared" si="33"/>
        <v>149882.16810683429</v>
      </c>
      <c r="U86" s="62">
        <f t="shared" si="33"/>
        <v>149882.16810683429</v>
      </c>
      <c r="V86" s="62">
        <f t="shared" si="33"/>
        <v>149882.16810683429</v>
      </c>
      <c r="W86" s="62">
        <f t="shared" si="33"/>
        <v>149882.16810683429</v>
      </c>
      <c r="X86" s="62">
        <f t="shared" si="33"/>
        <v>149882.16810683429</v>
      </c>
      <c r="Y86" s="62">
        <f t="shared" si="33"/>
        <v>149882.16810683429</v>
      </c>
      <c r="Z86" s="62">
        <f t="shared" si="33"/>
        <v>149882.16810683429</v>
      </c>
      <c r="AA86" s="62">
        <f t="shared" si="33"/>
        <v>149882.16810683429</v>
      </c>
      <c r="AB86" s="62">
        <f t="shared" si="33"/>
        <v>149882.16810683429</v>
      </c>
      <c r="AC86" s="62">
        <f t="shared" si="33"/>
        <v>149882.16810683429</v>
      </c>
      <c r="AD86" s="62">
        <f t="shared" si="33"/>
        <v>149882.16810683429</v>
      </c>
      <c r="AE86" s="62">
        <f t="shared" si="33"/>
        <v>149882.16810683429</v>
      </c>
      <c r="AF86" s="62">
        <f t="shared" si="33"/>
        <v>149882.16810683429</v>
      </c>
      <c r="AG86" s="62">
        <f t="shared" si="33"/>
        <v>149882.16810683429</v>
      </c>
      <c r="AH86" s="62">
        <f t="shared" si="33"/>
        <v>149882.16810683429</v>
      </c>
      <c r="AI86" s="62">
        <f t="shared" si="33"/>
        <v>149882.16810683429</v>
      </c>
      <c r="AJ86" s="62">
        <f t="shared" si="33"/>
        <v>149882.16810683429</v>
      </c>
      <c r="AK86" s="62">
        <f t="shared" si="33"/>
        <v>149882.16810683429</v>
      </c>
      <c r="AL86" s="62">
        <f t="shared" si="33"/>
        <v>149882.16810683429</v>
      </c>
      <c r="AM86" s="62">
        <f t="shared" si="33"/>
        <v>149882.16810683429</v>
      </c>
      <c r="AN86" s="62">
        <f t="shared" si="33"/>
        <v>149882.16810683429</v>
      </c>
      <c r="AO86" s="62">
        <f t="shared" si="33"/>
        <v>149882.16810683429</v>
      </c>
      <c r="AP86" s="62">
        <f t="shared" si="33"/>
        <v>149882.16810683429</v>
      </c>
      <c r="AQ86" s="62">
        <f t="shared" si="33"/>
        <v>149882.16810683429</v>
      </c>
    </row>
    <row r="87" spans="2:43" x14ac:dyDescent="0.35">
      <c r="B87" s="52" t="s">
        <v>87</v>
      </c>
      <c r="G87" s="62">
        <f>G64-(((G30*G49/100))+(G86*G43/100))</f>
        <v>3113.8740121954106</v>
      </c>
      <c r="H87" s="62"/>
      <c r="I87" s="62">
        <f t="shared" ref="I87:AQ87" si="34">I64-(((I30*I49/100))+(I86*I43/100))</f>
        <v>3431.4579776379524</v>
      </c>
      <c r="J87" s="62">
        <f t="shared" si="34"/>
        <v>3641.7965566036382</v>
      </c>
      <c r="K87" s="62">
        <f t="shared" si="34"/>
        <v>3667.1447461156304</v>
      </c>
      <c r="L87" s="62">
        <f t="shared" si="34"/>
        <v>3741.7375429217609</v>
      </c>
      <c r="M87" s="62">
        <f t="shared" si="34"/>
        <v>3853.4657995849684</v>
      </c>
      <c r="N87" s="62">
        <f t="shared" si="34"/>
        <v>3870.6473496636863</v>
      </c>
      <c r="O87" s="62">
        <f t="shared" si="34"/>
        <v>3870.6473496636863</v>
      </c>
      <c r="P87" s="62">
        <f t="shared" si="34"/>
        <v>3870.6473496636863</v>
      </c>
      <c r="Q87" s="62">
        <f t="shared" si="34"/>
        <v>3870.6473496636863</v>
      </c>
      <c r="R87" s="62">
        <f t="shared" si="34"/>
        <v>3870.6473496636872</v>
      </c>
      <c r="S87" s="62">
        <f t="shared" si="34"/>
        <v>3870.6473496636863</v>
      </c>
      <c r="T87" s="62">
        <f t="shared" si="34"/>
        <v>3870.6473496636863</v>
      </c>
      <c r="U87" s="62">
        <f t="shared" si="34"/>
        <v>3870.6473496636863</v>
      </c>
      <c r="V87" s="62">
        <f t="shared" si="34"/>
        <v>3870.6473496636863</v>
      </c>
      <c r="W87" s="62">
        <f t="shared" si="34"/>
        <v>3870.6473496636845</v>
      </c>
      <c r="X87" s="62">
        <f t="shared" si="34"/>
        <v>3870.6473496636836</v>
      </c>
      <c r="Y87" s="62">
        <f t="shared" si="34"/>
        <v>3870.6473496636836</v>
      </c>
      <c r="Z87" s="62">
        <f t="shared" si="34"/>
        <v>3870.6473496636845</v>
      </c>
      <c r="AA87" s="62">
        <f t="shared" si="34"/>
        <v>3870.6473496636845</v>
      </c>
      <c r="AB87" s="62">
        <f t="shared" si="34"/>
        <v>3870.6473496636836</v>
      </c>
      <c r="AC87" s="62">
        <f t="shared" si="34"/>
        <v>3870.6473496636845</v>
      </c>
      <c r="AD87" s="62">
        <f t="shared" si="34"/>
        <v>3870.6473496636827</v>
      </c>
      <c r="AE87" s="62">
        <f t="shared" si="34"/>
        <v>3870.6473496636827</v>
      </c>
      <c r="AF87" s="62">
        <f t="shared" si="34"/>
        <v>3870.6473496636827</v>
      </c>
      <c r="AG87" s="62">
        <f t="shared" si="34"/>
        <v>3870.6473496636809</v>
      </c>
      <c r="AH87" s="62">
        <f t="shared" si="34"/>
        <v>3870.6473496636827</v>
      </c>
      <c r="AI87" s="62">
        <f t="shared" si="34"/>
        <v>3870.6473496636827</v>
      </c>
      <c r="AJ87" s="62">
        <f t="shared" si="34"/>
        <v>3870.6473496636827</v>
      </c>
      <c r="AK87" s="62">
        <f t="shared" si="34"/>
        <v>3870.6473496636845</v>
      </c>
      <c r="AL87" s="62">
        <f t="shared" si="34"/>
        <v>3870.6473496636827</v>
      </c>
      <c r="AM87" s="62">
        <f t="shared" si="34"/>
        <v>3870.6473496636845</v>
      </c>
      <c r="AN87" s="62">
        <f t="shared" si="34"/>
        <v>3870.6473496636845</v>
      </c>
      <c r="AO87" s="62">
        <f t="shared" si="34"/>
        <v>3870.6473496636827</v>
      </c>
      <c r="AP87" s="62">
        <f t="shared" si="34"/>
        <v>3870.6473496636845</v>
      </c>
      <c r="AQ87" s="62">
        <f t="shared" si="34"/>
        <v>3870.6473496636827</v>
      </c>
    </row>
    <row r="88" spans="2:43" x14ac:dyDescent="0.35">
      <c r="B88" s="52" t="s">
        <v>88</v>
      </c>
      <c r="G88" s="62">
        <f>G65-(((G31*G49/100))+(G86*G44/100))</f>
        <v>2412.6454390179424</v>
      </c>
      <c r="H88" s="62"/>
      <c r="I88" s="62">
        <f t="shared" ref="I88:AQ88" si="35">I65-(((I31*I49/100))+(I86*I44/100))</f>
        <v>3431.4579776379524</v>
      </c>
      <c r="J88" s="62">
        <f t="shared" si="35"/>
        <v>3641.7965566036382</v>
      </c>
      <c r="K88" s="62">
        <f t="shared" si="35"/>
        <v>3667.1447461156304</v>
      </c>
      <c r="L88" s="62">
        <f t="shared" si="35"/>
        <v>3741.7375429217609</v>
      </c>
      <c r="M88" s="62">
        <f t="shared" si="35"/>
        <v>4471.8029643805294</v>
      </c>
      <c r="N88" s="62">
        <f t="shared" si="35"/>
        <v>4489.156390488195</v>
      </c>
      <c r="O88" s="62">
        <f t="shared" si="35"/>
        <v>4488.6095422106991</v>
      </c>
      <c r="P88" s="62">
        <f t="shared" si="35"/>
        <v>4487.3923824512003</v>
      </c>
      <c r="Q88" s="62">
        <f t="shared" si="35"/>
        <v>4485.5508716344621</v>
      </c>
      <c r="R88" s="62">
        <f t="shared" si="35"/>
        <v>4501.5357588454735</v>
      </c>
      <c r="S88" s="62">
        <f t="shared" si="35"/>
        <v>4470.0043678867796</v>
      </c>
      <c r="T88" s="62">
        <f t="shared" si="35"/>
        <v>4439.8840819468351</v>
      </c>
      <c r="U88" s="62">
        <f t="shared" si="35"/>
        <v>4411.1155217125333</v>
      </c>
      <c r="V88" s="62">
        <f t="shared" si="35"/>
        <v>4383.6417101929492</v>
      </c>
      <c r="W88" s="62">
        <f t="shared" si="35"/>
        <v>4357.4079781467171</v>
      </c>
      <c r="X88" s="62">
        <f t="shared" si="35"/>
        <v>4332.3618731583811</v>
      </c>
      <c r="Y88" s="62">
        <f t="shared" si="35"/>
        <v>4308.4530722252293</v>
      </c>
      <c r="Z88" s="62">
        <f t="shared" si="35"/>
        <v>4285.633297721005</v>
      </c>
      <c r="AA88" s="62">
        <f t="shared" si="35"/>
        <v>4263.8562366081705</v>
      </c>
      <c r="AB88" s="62">
        <f t="shared" si="35"/>
        <v>4243.0774627750925</v>
      </c>
      <c r="AC88" s="62">
        <f t="shared" si="35"/>
        <v>4223.2543623791507</v>
      </c>
      <c r="AD88" s="62">
        <f t="shared" si="35"/>
        <v>4204.3460620813466</v>
      </c>
      <c r="AE88" s="62">
        <f t="shared" si="35"/>
        <v>4186.313360062145</v>
      </c>
      <c r="AF88" s="62">
        <f t="shared" si="35"/>
        <v>4169.1186597126034</v>
      </c>
      <c r="AG88" s="62">
        <f t="shared" si="35"/>
        <v>4152.7259058986492</v>
      </c>
      <c r="AH88" s="62">
        <f t="shared" si="35"/>
        <v>4137.100523700381</v>
      </c>
      <c r="AI88" s="62">
        <f t="shared" si="35"/>
        <v>4122.2093595318238</v>
      </c>
      <c r="AJ88" s="62">
        <f t="shared" si="35"/>
        <v>4108.0206245502395</v>
      </c>
      <c r="AK88" s="62">
        <f t="shared" si="35"/>
        <v>4094.5038402674618</v>
      </c>
      <c r="AL88" s="62">
        <f t="shared" si="35"/>
        <v>4081.6297862790216</v>
      </c>
      <c r="AM88" s="62">
        <f t="shared" si="35"/>
        <v>4069.3704500300591</v>
      </c>
      <c r="AN88" s="62">
        <f t="shared" si="35"/>
        <v>4057.6989785400256</v>
      </c>
      <c r="AO88" s="62">
        <f t="shared" si="35"/>
        <v>4046.5896320111369</v>
      </c>
      <c r="AP88" s="62">
        <f t="shared" si="35"/>
        <v>4036.0177392483993</v>
      </c>
      <c r="AQ88" s="62">
        <f t="shared" si="35"/>
        <v>4025.9596548217114</v>
      </c>
    </row>
    <row r="89" spans="2:43" x14ac:dyDescent="0.35">
      <c r="B89" s="53" t="s">
        <v>106</v>
      </c>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row>
    <row r="90" spans="2:43" x14ac:dyDescent="0.35">
      <c r="B90" s="53" t="s">
        <v>107</v>
      </c>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row>
    <row r="91" spans="2:43" x14ac:dyDescent="0.35">
      <c r="B91" s="52" t="s">
        <v>92</v>
      </c>
      <c r="G91" s="62">
        <f>(((G30*G49/100))+(G86*G43/100))</f>
        <v>4501.1160863739569</v>
      </c>
      <c r="H91" s="62"/>
      <c r="I91" s="62">
        <f t="shared" ref="I91:AQ91" si="36">(((I30*I49/100))+(I86*I43/100))</f>
        <v>4939.3962176150962</v>
      </c>
      <c r="J91" s="62">
        <f t="shared" si="36"/>
        <v>5264.2300234468294</v>
      </c>
      <c r="K91" s="62">
        <f t="shared" si="36"/>
        <v>5300.8709225731391</v>
      </c>
      <c r="L91" s="62">
        <f t="shared" si="36"/>
        <v>5408.6950786940124</v>
      </c>
      <c r="M91" s="62">
        <f t="shared" si="36"/>
        <v>5570.1986756281476</v>
      </c>
      <c r="N91" s="62">
        <f t="shared" si="36"/>
        <v>5595.0346680752627</v>
      </c>
      <c r="O91" s="62">
        <f t="shared" si="36"/>
        <v>5595.0346680752627</v>
      </c>
      <c r="P91" s="62">
        <f t="shared" si="36"/>
        <v>5595.0346680752627</v>
      </c>
      <c r="Q91" s="62">
        <f t="shared" si="36"/>
        <v>5595.0346680752627</v>
      </c>
      <c r="R91" s="62">
        <f t="shared" si="36"/>
        <v>5595.0346680752637</v>
      </c>
      <c r="S91" s="62">
        <f t="shared" si="36"/>
        <v>5595.0346680752627</v>
      </c>
      <c r="T91" s="62">
        <f t="shared" si="36"/>
        <v>5595.0346680752627</v>
      </c>
      <c r="U91" s="62">
        <f t="shared" si="36"/>
        <v>5595.0346680752627</v>
      </c>
      <c r="V91" s="62">
        <f t="shared" si="36"/>
        <v>5595.0346680752627</v>
      </c>
      <c r="W91" s="62">
        <f t="shared" si="36"/>
        <v>5595.0346680752627</v>
      </c>
      <c r="X91" s="62">
        <f t="shared" si="36"/>
        <v>5595.0346680752618</v>
      </c>
      <c r="Y91" s="62">
        <f t="shared" si="36"/>
        <v>5595.0346680752618</v>
      </c>
      <c r="Z91" s="62">
        <f t="shared" si="36"/>
        <v>5595.0346680752609</v>
      </c>
      <c r="AA91" s="62">
        <f t="shared" si="36"/>
        <v>5595.0346680752609</v>
      </c>
      <c r="AB91" s="62">
        <f t="shared" si="36"/>
        <v>5595.0346680752618</v>
      </c>
      <c r="AC91" s="62">
        <f t="shared" si="36"/>
        <v>5595.0346680752609</v>
      </c>
      <c r="AD91" s="62">
        <f t="shared" si="36"/>
        <v>5595.0346680752609</v>
      </c>
      <c r="AE91" s="62">
        <f t="shared" si="36"/>
        <v>5595.0346680752609</v>
      </c>
      <c r="AF91" s="62">
        <f t="shared" si="36"/>
        <v>5595.0346680752609</v>
      </c>
      <c r="AG91" s="62">
        <f t="shared" si="36"/>
        <v>5595.0346680752609</v>
      </c>
      <c r="AH91" s="62">
        <f t="shared" si="36"/>
        <v>5595.0346680752609</v>
      </c>
      <c r="AI91" s="62">
        <f t="shared" si="36"/>
        <v>5595.0346680752609</v>
      </c>
      <c r="AJ91" s="62">
        <f t="shared" si="36"/>
        <v>5595.0346680752609</v>
      </c>
      <c r="AK91" s="62">
        <f t="shared" si="36"/>
        <v>5595.0346680752609</v>
      </c>
      <c r="AL91" s="62">
        <f t="shared" si="36"/>
        <v>5595.0346680752609</v>
      </c>
      <c r="AM91" s="62">
        <f t="shared" si="36"/>
        <v>5595.0346680752609</v>
      </c>
      <c r="AN91" s="62">
        <f t="shared" si="36"/>
        <v>5595.0346680752609</v>
      </c>
      <c r="AO91" s="62">
        <f t="shared" si="36"/>
        <v>5595.0346680752609</v>
      </c>
      <c r="AP91" s="62">
        <f t="shared" si="36"/>
        <v>5595.0346680752609</v>
      </c>
      <c r="AQ91" s="62">
        <f t="shared" si="36"/>
        <v>5595.0346680752609</v>
      </c>
    </row>
    <row r="92" spans="2:43" x14ac:dyDescent="0.35">
      <c r="B92" s="52" t="s">
        <v>100</v>
      </c>
      <c r="G92" s="62">
        <f>((G43*(G50-15000))/100)</f>
        <v>7407.2640472376788</v>
      </c>
      <c r="H92" s="62"/>
      <c r="I92" s="62">
        <f t="shared" ref="I92:AQ92" si="37">((I43*(I50-15000))/100)</f>
        <v>8142.5092511696812</v>
      </c>
      <c r="J92" s="62">
        <f t="shared" si="37"/>
        <v>8663.0828978418049</v>
      </c>
      <c r="K92" s="62">
        <f t="shared" si="37"/>
        <v>8723.3810126978951</v>
      </c>
      <c r="L92" s="62">
        <f t="shared" si="37"/>
        <v>8900.8218917446975</v>
      </c>
      <c r="M92" s="62">
        <f t="shared" si="37"/>
        <v>9166.600370707125</v>
      </c>
      <c r="N92" s="62">
        <f t="shared" si="37"/>
        <v>9207.4717346979123</v>
      </c>
      <c r="O92" s="62">
        <f t="shared" si="37"/>
        <v>9207.4717346979123</v>
      </c>
      <c r="P92" s="62">
        <f t="shared" si="37"/>
        <v>9207.4717346979141</v>
      </c>
      <c r="Q92" s="62">
        <f t="shared" si="37"/>
        <v>9207.4717346979123</v>
      </c>
      <c r="R92" s="62">
        <f t="shared" si="37"/>
        <v>9207.471734697916</v>
      </c>
      <c r="S92" s="62">
        <f t="shared" si="37"/>
        <v>9207.4717346979141</v>
      </c>
      <c r="T92" s="62">
        <f t="shared" si="37"/>
        <v>9207.4717346979123</v>
      </c>
      <c r="U92" s="62">
        <f t="shared" si="37"/>
        <v>9207.4717346979123</v>
      </c>
      <c r="V92" s="62">
        <f t="shared" si="37"/>
        <v>9207.4717346979123</v>
      </c>
      <c r="W92" s="62">
        <f t="shared" si="37"/>
        <v>9207.4717346979123</v>
      </c>
      <c r="X92" s="62">
        <f t="shared" si="37"/>
        <v>9207.4717346979105</v>
      </c>
      <c r="Y92" s="62">
        <f t="shared" si="37"/>
        <v>9207.4717346979105</v>
      </c>
      <c r="Z92" s="62">
        <f t="shared" si="37"/>
        <v>9207.4717346979087</v>
      </c>
      <c r="AA92" s="62">
        <f t="shared" si="37"/>
        <v>9207.4717346979105</v>
      </c>
      <c r="AB92" s="62">
        <f t="shared" si="37"/>
        <v>9207.4717346979105</v>
      </c>
      <c r="AC92" s="62">
        <f t="shared" si="37"/>
        <v>9207.4717346979087</v>
      </c>
      <c r="AD92" s="62">
        <f t="shared" si="37"/>
        <v>9207.4717346979069</v>
      </c>
      <c r="AE92" s="62">
        <f t="shared" si="37"/>
        <v>9207.4717346979069</v>
      </c>
      <c r="AF92" s="62">
        <f t="shared" si="37"/>
        <v>9207.4717346979069</v>
      </c>
      <c r="AG92" s="62">
        <f t="shared" si="37"/>
        <v>9207.4717346979069</v>
      </c>
      <c r="AH92" s="62">
        <f t="shared" si="37"/>
        <v>9207.4717346979069</v>
      </c>
      <c r="AI92" s="62">
        <f t="shared" si="37"/>
        <v>9207.4717346979069</v>
      </c>
      <c r="AJ92" s="62">
        <f t="shared" si="37"/>
        <v>9207.4717346979069</v>
      </c>
      <c r="AK92" s="62">
        <f t="shared" si="37"/>
        <v>9207.4717346979087</v>
      </c>
      <c r="AL92" s="62">
        <f t="shared" si="37"/>
        <v>9207.4717346979069</v>
      </c>
      <c r="AM92" s="62">
        <f t="shared" si="37"/>
        <v>9207.4717346979087</v>
      </c>
      <c r="AN92" s="62">
        <f t="shared" si="37"/>
        <v>9207.4717346979087</v>
      </c>
      <c r="AO92" s="62">
        <f t="shared" si="37"/>
        <v>9207.4717346979069</v>
      </c>
      <c r="AP92" s="62">
        <f t="shared" si="37"/>
        <v>9207.4717346979087</v>
      </c>
      <c r="AQ92" s="62">
        <f t="shared" si="37"/>
        <v>9207.4717346979069</v>
      </c>
    </row>
    <row r="93" spans="2:43" x14ac:dyDescent="0.35">
      <c r="B93" s="52" t="s">
        <v>89</v>
      </c>
      <c r="D93" s="52"/>
      <c r="G93" s="62">
        <f>G64-(IF(G91&lt;G92, G91, G92))</f>
        <v>3113.8740121954106</v>
      </c>
      <c r="H93" s="62"/>
      <c r="I93" s="62">
        <f t="shared" ref="I93:AQ93" si="38">I64-(IF(I91&lt;I92, I91, I92))</f>
        <v>3431.4579776379524</v>
      </c>
      <c r="J93" s="62">
        <f t="shared" si="38"/>
        <v>3641.7965566036382</v>
      </c>
      <c r="K93" s="62">
        <f t="shared" si="38"/>
        <v>3667.1447461156304</v>
      </c>
      <c r="L93" s="62">
        <f t="shared" si="38"/>
        <v>3741.7375429217609</v>
      </c>
      <c r="M93" s="62">
        <f t="shared" si="38"/>
        <v>3853.4657995849684</v>
      </c>
      <c r="N93" s="62">
        <f t="shared" si="38"/>
        <v>3870.6473496636863</v>
      </c>
      <c r="O93" s="62">
        <f t="shared" si="38"/>
        <v>3870.6473496636863</v>
      </c>
      <c r="P93" s="62">
        <f t="shared" si="38"/>
        <v>3870.6473496636863</v>
      </c>
      <c r="Q93" s="62">
        <f t="shared" si="38"/>
        <v>3870.6473496636863</v>
      </c>
      <c r="R93" s="62">
        <f t="shared" si="38"/>
        <v>3870.6473496636872</v>
      </c>
      <c r="S93" s="62">
        <f t="shared" si="38"/>
        <v>3870.6473496636863</v>
      </c>
      <c r="T93" s="62">
        <f t="shared" si="38"/>
        <v>3870.6473496636863</v>
      </c>
      <c r="U93" s="62">
        <f t="shared" si="38"/>
        <v>3870.6473496636863</v>
      </c>
      <c r="V93" s="62">
        <f t="shared" si="38"/>
        <v>3870.6473496636863</v>
      </c>
      <c r="W93" s="62">
        <f t="shared" si="38"/>
        <v>3870.6473496636845</v>
      </c>
      <c r="X93" s="62">
        <f t="shared" si="38"/>
        <v>3870.6473496636836</v>
      </c>
      <c r="Y93" s="62">
        <f t="shared" si="38"/>
        <v>3870.6473496636836</v>
      </c>
      <c r="Z93" s="62">
        <f t="shared" si="38"/>
        <v>3870.6473496636845</v>
      </c>
      <c r="AA93" s="62">
        <f t="shared" si="38"/>
        <v>3870.6473496636845</v>
      </c>
      <c r="AB93" s="62">
        <f t="shared" si="38"/>
        <v>3870.6473496636836</v>
      </c>
      <c r="AC93" s="62">
        <f t="shared" si="38"/>
        <v>3870.6473496636845</v>
      </c>
      <c r="AD93" s="62">
        <f t="shared" si="38"/>
        <v>3870.6473496636827</v>
      </c>
      <c r="AE93" s="62">
        <f t="shared" si="38"/>
        <v>3870.6473496636827</v>
      </c>
      <c r="AF93" s="62">
        <f t="shared" si="38"/>
        <v>3870.6473496636827</v>
      </c>
      <c r="AG93" s="62">
        <f t="shared" si="38"/>
        <v>3870.6473496636809</v>
      </c>
      <c r="AH93" s="62">
        <f t="shared" si="38"/>
        <v>3870.6473496636827</v>
      </c>
      <c r="AI93" s="62">
        <f t="shared" si="38"/>
        <v>3870.6473496636827</v>
      </c>
      <c r="AJ93" s="62">
        <f t="shared" si="38"/>
        <v>3870.6473496636827</v>
      </c>
      <c r="AK93" s="62">
        <f t="shared" si="38"/>
        <v>3870.6473496636845</v>
      </c>
      <c r="AL93" s="62">
        <f t="shared" si="38"/>
        <v>3870.6473496636827</v>
      </c>
      <c r="AM93" s="62">
        <f t="shared" si="38"/>
        <v>3870.6473496636845</v>
      </c>
      <c r="AN93" s="62">
        <f t="shared" si="38"/>
        <v>3870.6473496636845</v>
      </c>
      <c r="AO93" s="62">
        <f t="shared" si="38"/>
        <v>3870.6473496636827</v>
      </c>
      <c r="AP93" s="62">
        <f t="shared" si="38"/>
        <v>3870.6473496636845</v>
      </c>
      <c r="AQ93" s="62">
        <f t="shared" si="38"/>
        <v>3870.6473496636827</v>
      </c>
    </row>
    <row r="94" spans="2:43" x14ac:dyDescent="0.35">
      <c r="B94" s="52" t="s">
        <v>93</v>
      </c>
      <c r="G94" s="62">
        <f>(((G31*G49/100))+(G86*G44/100))</f>
        <v>5202.3446595514251</v>
      </c>
      <c r="H94" s="62"/>
      <c r="I94" s="62">
        <f t="shared" ref="I94:AQ94" si="39">(((I31*I49/100))+(I86*I44/100))</f>
        <v>4939.3962176150962</v>
      </c>
      <c r="J94" s="62">
        <f t="shared" si="39"/>
        <v>5264.2300234468294</v>
      </c>
      <c r="K94" s="62">
        <f t="shared" si="39"/>
        <v>5300.8709225731391</v>
      </c>
      <c r="L94" s="62">
        <f t="shared" si="39"/>
        <v>5408.6950786940124</v>
      </c>
      <c r="M94" s="62">
        <f t="shared" si="39"/>
        <v>6464.0072717254243</v>
      </c>
      <c r="N94" s="62">
        <f t="shared" si="39"/>
        <v>6489.0917115906832</v>
      </c>
      <c r="O94" s="62">
        <f t="shared" si="39"/>
        <v>6488.301240438348</v>
      </c>
      <c r="P94" s="62">
        <f t="shared" si="39"/>
        <v>6486.5418316274245</v>
      </c>
      <c r="Q94" s="62">
        <f t="shared" si="39"/>
        <v>6483.8799211172363</v>
      </c>
      <c r="R94" s="62">
        <f t="shared" si="39"/>
        <v>6506.9861330842486</v>
      </c>
      <c r="S94" s="62">
        <f t="shared" si="39"/>
        <v>6461.407394023493</v>
      </c>
      <c r="T94" s="62">
        <f t="shared" si="39"/>
        <v>6417.8684123436033</v>
      </c>
      <c r="U94" s="62">
        <f t="shared" si="39"/>
        <v>6376.2833550338682</v>
      </c>
      <c r="V94" s="62">
        <f t="shared" si="39"/>
        <v>6336.5698616489517</v>
      </c>
      <c r="W94" s="62">
        <f t="shared" si="39"/>
        <v>6298.6489076037724</v>
      </c>
      <c r="X94" s="62">
        <f t="shared" si="39"/>
        <v>6262.4446727431223</v>
      </c>
      <c r="Y94" s="62">
        <f t="shared" si="39"/>
        <v>6227.8844149855377</v>
      </c>
      <c r="Z94" s="62">
        <f t="shared" si="39"/>
        <v>6194.8983488485928</v>
      </c>
      <c r="AA94" s="62">
        <f t="shared" si="39"/>
        <v>6163.4195286699241</v>
      </c>
      <c r="AB94" s="62">
        <f t="shared" si="39"/>
        <v>6133.3837363453476</v>
      </c>
      <c r="AC94" s="62">
        <f t="shared" si="39"/>
        <v>6104.7293734120603</v>
      </c>
      <c r="AD94" s="62">
        <f t="shared" si="39"/>
        <v>6077.3973573115009</v>
      </c>
      <c r="AE94" s="62">
        <f t="shared" si="39"/>
        <v>6051.3310216725122</v>
      </c>
      <c r="AF94" s="62">
        <f t="shared" si="39"/>
        <v>6026.4760204616141</v>
      </c>
      <c r="AG94" s="62">
        <f t="shared" si="39"/>
        <v>6002.7802358528061</v>
      </c>
      <c r="AH94" s="62">
        <f t="shared" si="39"/>
        <v>5980.1936896749849</v>
      </c>
      <c r="AI94" s="62">
        <f t="shared" si="39"/>
        <v>5958.6684583003607</v>
      </c>
      <c r="AJ94" s="62">
        <f t="shared" si="39"/>
        <v>5938.158590842404</v>
      </c>
      <c r="AK94" s="62">
        <f t="shared" si="39"/>
        <v>5918.6200305368238</v>
      </c>
      <c r="AL94" s="62">
        <f t="shared" si="39"/>
        <v>5900.0105391838424</v>
      </c>
      <c r="AM94" s="62">
        <f t="shared" si="39"/>
        <v>5882.2896245346437</v>
      </c>
      <c r="AN94" s="62">
        <f t="shared" si="39"/>
        <v>5865.4184705092412</v>
      </c>
      <c r="AO94" s="62">
        <f t="shared" si="39"/>
        <v>5849.3598701373448</v>
      </c>
      <c r="AP94" s="62">
        <f t="shared" si="39"/>
        <v>5834.0781611178381</v>
      </c>
      <c r="AQ94" s="62">
        <f t="shared" si="39"/>
        <v>5819.5391638964456</v>
      </c>
    </row>
    <row r="95" spans="2:43" x14ac:dyDescent="0.35">
      <c r="B95" s="52" t="s">
        <v>101</v>
      </c>
      <c r="G95" s="62">
        <f>(G44*(G50-15000))/100</f>
        <v>7407.2640472376788</v>
      </c>
      <c r="H95" s="62"/>
      <c r="I95" s="62">
        <f t="shared" ref="I95:AQ95" si="40">(I44*(I50-15000))/100</f>
        <v>8142.5092511696812</v>
      </c>
      <c r="J95" s="62">
        <f t="shared" si="40"/>
        <v>8663.0828978418049</v>
      </c>
      <c r="K95" s="62">
        <f t="shared" si="40"/>
        <v>8723.3810126978951</v>
      </c>
      <c r="L95" s="62">
        <f t="shared" si="40"/>
        <v>8900.8218917446975</v>
      </c>
      <c r="M95" s="62">
        <f t="shared" si="40"/>
        <v>10637.496955451037</v>
      </c>
      <c r="N95" s="62">
        <f t="shared" si="40"/>
        <v>10678.777177065742</v>
      </c>
      <c r="O95" s="62">
        <f t="shared" si="40"/>
        <v>10677.476337799497</v>
      </c>
      <c r="P95" s="62">
        <f t="shared" si="40"/>
        <v>10674.580965767438</v>
      </c>
      <c r="Q95" s="62">
        <f t="shared" si="40"/>
        <v>10670.20039134085</v>
      </c>
      <c r="R95" s="62">
        <f t="shared" si="40"/>
        <v>10708.225141177725</v>
      </c>
      <c r="S95" s="62">
        <f t="shared" si="40"/>
        <v>10633.218465347876</v>
      </c>
      <c r="T95" s="62">
        <f t="shared" si="40"/>
        <v>10561.568517321186</v>
      </c>
      <c r="U95" s="62">
        <f t="shared" si="40"/>
        <v>10493.134045958583</v>
      </c>
      <c r="V95" s="62">
        <f t="shared" si="40"/>
        <v>10427.779514750015</v>
      </c>
      <c r="W95" s="62">
        <f t="shared" si="40"/>
        <v>10365.374876845623</v>
      </c>
      <c r="X95" s="62">
        <f t="shared" si="40"/>
        <v>10305.795358767233</v>
      </c>
      <c r="Y95" s="62">
        <f t="shared" si="40"/>
        <v>10248.921252470354</v>
      </c>
      <c r="Z95" s="62">
        <f t="shared" si="40"/>
        <v>10194.637715439247</v>
      </c>
      <c r="AA95" s="62">
        <f t="shared" si="40"/>
        <v>10142.834578509544</v>
      </c>
      <c r="AB95" s="62">
        <f t="shared" si="40"/>
        <v>10093.406161124432</v>
      </c>
      <c r="AC95" s="62">
        <f t="shared" si="40"/>
        <v>10046.251093741308</v>
      </c>
      <c r="AD95" s="62">
        <f t="shared" si="40"/>
        <v>10001.272147116695</v>
      </c>
      <c r="AE95" s="62">
        <f t="shared" si="40"/>
        <v>9958.376068207197</v>
      </c>
      <c r="AF95" s="62">
        <f t="shared" si="40"/>
        <v>9917.473422434321</v>
      </c>
      <c r="AG95" s="62">
        <f t="shared" si="40"/>
        <v>9878.4784420703927</v>
      </c>
      <c r="AH95" s="62">
        <f t="shared" si="40"/>
        <v>9841.3088805119351</v>
      </c>
      <c r="AI95" s="62">
        <f t="shared" si="40"/>
        <v>9805.8858722157474</v>
      </c>
      <c r="AJ95" s="62">
        <f t="shared" si="40"/>
        <v>9772.1337980813259</v>
      </c>
      <c r="AK95" s="62">
        <f t="shared" si="40"/>
        <v>9739.9801560714168</v>
      </c>
      <c r="AL95" s="62">
        <f t="shared" si="40"/>
        <v>9709.3554368704154</v>
      </c>
      <c r="AM95" s="62">
        <f t="shared" si="40"/>
        <v>9680.1930043878274</v>
      </c>
      <c r="AN95" s="62">
        <f t="shared" si="40"/>
        <v>9652.4289809212714</v>
      </c>
      <c r="AO95" s="62">
        <f t="shared" si="40"/>
        <v>9626.0021368005891</v>
      </c>
      <c r="AP95" s="62">
        <f t="shared" si="40"/>
        <v>9600.8537843412469</v>
      </c>
      <c r="AQ95" s="62">
        <f t="shared" si="40"/>
        <v>9576.927675941839</v>
      </c>
    </row>
    <row r="96" spans="2:43" x14ac:dyDescent="0.35">
      <c r="B96" s="52" t="s">
        <v>125</v>
      </c>
      <c r="D96" s="52"/>
      <c r="G96" s="62">
        <f>G65-(IF(G94&lt;G95, G94, G95))</f>
        <v>2412.6454390179424</v>
      </c>
      <c r="H96" s="62"/>
      <c r="I96" s="62">
        <f t="shared" ref="I96:AQ96" si="41">I65-(IF(I94&lt;I95, I94, I95))</f>
        <v>3431.4579776379524</v>
      </c>
      <c r="J96" s="62">
        <f t="shared" si="41"/>
        <v>3641.7965566036382</v>
      </c>
      <c r="K96" s="62">
        <f t="shared" si="41"/>
        <v>3667.1447461156304</v>
      </c>
      <c r="L96" s="62">
        <f t="shared" si="41"/>
        <v>3741.7375429217609</v>
      </c>
      <c r="M96" s="62">
        <f t="shared" si="41"/>
        <v>4471.8029643805294</v>
      </c>
      <c r="N96" s="62">
        <f t="shared" si="41"/>
        <v>4489.156390488195</v>
      </c>
      <c r="O96" s="62">
        <f t="shared" si="41"/>
        <v>4488.6095422106991</v>
      </c>
      <c r="P96" s="62">
        <f t="shared" si="41"/>
        <v>4487.3923824512003</v>
      </c>
      <c r="Q96" s="62">
        <f t="shared" si="41"/>
        <v>4485.5508716344621</v>
      </c>
      <c r="R96" s="62">
        <f t="shared" si="41"/>
        <v>4501.5357588454735</v>
      </c>
      <c r="S96" s="62">
        <f t="shared" si="41"/>
        <v>4470.0043678867796</v>
      </c>
      <c r="T96" s="62">
        <f t="shared" si="41"/>
        <v>4439.8840819468351</v>
      </c>
      <c r="U96" s="62">
        <f t="shared" si="41"/>
        <v>4411.1155217125333</v>
      </c>
      <c r="V96" s="62">
        <f t="shared" si="41"/>
        <v>4383.6417101929492</v>
      </c>
      <c r="W96" s="62">
        <f t="shared" si="41"/>
        <v>4357.4079781467171</v>
      </c>
      <c r="X96" s="62">
        <f t="shared" si="41"/>
        <v>4332.3618731583811</v>
      </c>
      <c r="Y96" s="62">
        <f t="shared" si="41"/>
        <v>4308.4530722252293</v>
      </c>
      <c r="Z96" s="62">
        <f t="shared" si="41"/>
        <v>4285.633297721005</v>
      </c>
      <c r="AA96" s="62">
        <f t="shared" si="41"/>
        <v>4263.8562366081705</v>
      </c>
      <c r="AB96" s="62">
        <f t="shared" si="41"/>
        <v>4243.0774627750925</v>
      </c>
      <c r="AC96" s="62">
        <f t="shared" si="41"/>
        <v>4223.2543623791507</v>
      </c>
      <c r="AD96" s="62">
        <f t="shared" si="41"/>
        <v>4204.3460620813466</v>
      </c>
      <c r="AE96" s="62">
        <f t="shared" si="41"/>
        <v>4186.313360062145</v>
      </c>
      <c r="AF96" s="62">
        <f t="shared" si="41"/>
        <v>4169.1186597126034</v>
      </c>
      <c r="AG96" s="62">
        <f t="shared" si="41"/>
        <v>4152.7259058986492</v>
      </c>
      <c r="AH96" s="62">
        <f t="shared" si="41"/>
        <v>4137.100523700381</v>
      </c>
      <c r="AI96" s="62">
        <f t="shared" si="41"/>
        <v>4122.2093595318238</v>
      </c>
      <c r="AJ96" s="62">
        <f t="shared" si="41"/>
        <v>4108.0206245502395</v>
      </c>
      <c r="AK96" s="62">
        <f t="shared" si="41"/>
        <v>4094.5038402674618</v>
      </c>
      <c r="AL96" s="62">
        <f t="shared" si="41"/>
        <v>4081.6297862790216</v>
      </c>
      <c r="AM96" s="62">
        <f t="shared" si="41"/>
        <v>4069.3704500300591</v>
      </c>
      <c r="AN96" s="62">
        <f t="shared" si="41"/>
        <v>4057.6989785400256</v>
      </c>
      <c r="AO96" s="62">
        <f t="shared" si="41"/>
        <v>4046.5896320111369</v>
      </c>
      <c r="AP96" s="62">
        <f t="shared" si="41"/>
        <v>4036.0177392483993</v>
      </c>
      <c r="AQ96" s="62">
        <f t="shared" si="41"/>
        <v>4025.9596548217114</v>
      </c>
    </row>
    <row r="97" spans="1:43" x14ac:dyDescent="0.35">
      <c r="B97" s="53" t="s">
        <v>108</v>
      </c>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row>
    <row r="98" spans="1:43" x14ac:dyDescent="0.35">
      <c r="B98" s="52" t="s">
        <v>122</v>
      </c>
      <c r="G98" s="71">
        <v>0.45479999999999998</v>
      </c>
      <c r="H98" s="71"/>
      <c r="I98" s="71">
        <v>0.45479999999999998</v>
      </c>
      <c r="J98" s="71">
        <v>0.45479999999999998</v>
      </c>
      <c r="K98" s="71">
        <v>0.45479999999999998</v>
      </c>
      <c r="L98" s="71">
        <v>0.45479999999999998</v>
      </c>
      <c r="M98" s="71">
        <v>0.45479999999999998</v>
      </c>
      <c r="N98" s="71">
        <v>0.45479999999999998</v>
      </c>
      <c r="O98" s="71">
        <v>0.45479999999999998</v>
      </c>
      <c r="P98" s="71">
        <v>0.45479999999999998</v>
      </c>
      <c r="Q98" s="71">
        <v>0.45479999999999998</v>
      </c>
      <c r="R98" s="71">
        <v>0.45479999999999998</v>
      </c>
      <c r="S98" s="71">
        <v>0.45479999999999998</v>
      </c>
      <c r="T98" s="71">
        <v>0.45479999999999998</v>
      </c>
      <c r="U98" s="71">
        <v>0.45479999999999998</v>
      </c>
      <c r="V98" s="71">
        <v>0.45479999999999998</v>
      </c>
      <c r="W98" s="71">
        <v>0.45479999999999998</v>
      </c>
      <c r="X98" s="71">
        <v>0.45479999999999998</v>
      </c>
      <c r="Y98" s="71">
        <v>0.45479999999999998</v>
      </c>
      <c r="Z98" s="71">
        <v>0.45479999999999998</v>
      </c>
      <c r="AA98" s="71">
        <v>0.45479999999999998</v>
      </c>
      <c r="AB98" s="71">
        <v>0.45479999999999998</v>
      </c>
      <c r="AC98" s="71">
        <v>0.45479999999999998</v>
      </c>
      <c r="AD98" s="71">
        <v>0.45479999999999998</v>
      </c>
      <c r="AE98" s="71">
        <v>0.45479999999999998</v>
      </c>
      <c r="AF98" s="71">
        <v>0.45479999999999998</v>
      </c>
      <c r="AG98" s="71">
        <v>0.45479999999999998</v>
      </c>
      <c r="AH98" s="71">
        <v>0.45479999999999998</v>
      </c>
      <c r="AI98" s="71">
        <v>0.45479999999999998</v>
      </c>
      <c r="AJ98" s="71">
        <v>0.45479999999999998</v>
      </c>
      <c r="AK98" s="71">
        <v>0.45479999999999998</v>
      </c>
      <c r="AL98" s="71">
        <v>0.45479999999999998</v>
      </c>
      <c r="AM98" s="71">
        <v>0.45479999999999998</v>
      </c>
      <c r="AN98" s="71">
        <v>0.45479999999999998</v>
      </c>
      <c r="AO98" s="71">
        <v>0.45479999999999998</v>
      </c>
      <c r="AP98" s="71">
        <v>0.45479999999999998</v>
      </c>
      <c r="AQ98" s="71">
        <v>0.45479999999999998</v>
      </c>
    </row>
    <row r="99" spans="1:43" x14ac:dyDescent="0.35">
      <c r="B99" s="52" t="s">
        <v>115</v>
      </c>
      <c r="G99" s="62">
        <f>G50*G98/100</f>
        <v>2500.8641005498821</v>
      </c>
      <c r="H99" s="62"/>
      <c r="I99" s="62">
        <f t="shared" ref="I99:AQ99" si="42">I50*I98/100</f>
        <v>2500.8641005498821</v>
      </c>
      <c r="J99" s="62">
        <f t="shared" si="42"/>
        <v>2500.8641005498821</v>
      </c>
      <c r="K99" s="62">
        <f t="shared" si="42"/>
        <v>2500.8641005498821</v>
      </c>
      <c r="L99" s="62">
        <f t="shared" si="42"/>
        <v>2500.8641005498821</v>
      </c>
      <c r="M99" s="62">
        <f t="shared" si="42"/>
        <v>2500.8641005498821</v>
      </c>
      <c r="N99" s="62">
        <f t="shared" si="42"/>
        <v>2500.8641005498821</v>
      </c>
      <c r="O99" s="62">
        <f t="shared" si="42"/>
        <v>2500.8641005498821</v>
      </c>
      <c r="P99" s="62">
        <f t="shared" si="42"/>
        <v>2500.8641005498821</v>
      </c>
      <c r="Q99" s="62">
        <f t="shared" si="42"/>
        <v>2500.8641005498821</v>
      </c>
      <c r="R99" s="62">
        <f t="shared" si="42"/>
        <v>2500.8641005498821</v>
      </c>
      <c r="S99" s="62">
        <f t="shared" si="42"/>
        <v>2500.8641005498821</v>
      </c>
      <c r="T99" s="62">
        <f t="shared" si="42"/>
        <v>2500.8641005498821</v>
      </c>
      <c r="U99" s="62">
        <f t="shared" si="42"/>
        <v>2500.8641005498821</v>
      </c>
      <c r="V99" s="62">
        <f t="shared" si="42"/>
        <v>2500.8641005498821</v>
      </c>
      <c r="W99" s="62">
        <f t="shared" si="42"/>
        <v>2500.8641005498821</v>
      </c>
      <c r="X99" s="62">
        <f t="shared" si="42"/>
        <v>2500.8641005498821</v>
      </c>
      <c r="Y99" s="62">
        <f t="shared" si="42"/>
        <v>2500.8641005498821</v>
      </c>
      <c r="Z99" s="62">
        <f t="shared" si="42"/>
        <v>2500.8641005498821</v>
      </c>
      <c r="AA99" s="62">
        <f t="shared" si="42"/>
        <v>2500.8641005498821</v>
      </c>
      <c r="AB99" s="62">
        <f t="shared" si="42"/>
        <v>2500.8641005498821</v>
      </c>
      <c r="AC99" s="62">
        <f t="shared" si="42"/>
        <v>2500.8641005498821</v>
      </c>
      <c r="AD99" s="62">
        <f t="shared" si="42"/>
        <v>2500.8641005498821</v>
      </c>
      <c r="AE99" s="62">
        <f t="shared" si="42"/>
        <v>2500.8641005498821</v>
      </c>
      <c r="AF99" s="62">
        <f t="shared" si="42"/>
        <v>2500.8641005498821</v>
      </c>
      <c r="AG99" s="62">
        <f t="shared" si="42"/>
        <v>2500.8641005498821</v>
      </c>
      <c r="AH99" s="62">
        <f t="shared" si="42"/>
        <v>2500.8641005498821</v>
      </c>
      <c r="AI99" s="62">
        <f t="shared" si="42"/>
        <v>2500.8641005498821</v>
      </c>
      <c r="AJ99" s="62">
        <f t="shared" si="42"/>
        <v>2500.8641005498821</v>
      </c>
      <c r="AK99" s="62">
        <f t="shared" si="42"/>
        <v>2500.8641005498821</v>
      </c>
      <c r="AL99" s="62">
        <f t="shared" si="42"/>
        <v>2500.8641005498821</v>
      </c>
      <c r="AM99" s="62">
        <f t="shared" si="42"/>
        <v>2500.8641005498821</v>
      </c>
      <c r="AN99" s="62">
        <f t="shared" si="42"/>
        <v>2500.8641005498821</v>
      </c>
      <c r="AO99" s="62">
        <f t="shared" si="42"/>
        <v>2500.8641005498821</v>
      </c>
      <c r="AP99" s="62">
        <f t="shared" si="42"/>
        <v>2500.8641005498821</v>
      </c>
      <c r="AQ99" s="62">
        <f t="shared" si="42"/>
        <v>2500.8641005498821</v>
      </c>
    </row>
    <row r="100" spans="1:43" x14ac:dyDescent="0.35">
      <c r="B100" s="52" t="s">
        <v>116</v>
      </c>
      <c r="G100" s="62">
        <f>G49*(IF(G49&lt;10000, 0.015, IF(G49&lt;47001, 0.03, 0)))</f>
        <v>0</v>
      </c>
      <c r="H100" s="62"/>
      <c r="I100" s="62">
        <f t="shared" ref="I100:AQ100" si="43">I49*(IF(I49&lt;10000, 0.015, IF(I49&lt;47001, 0.03, 0)))</f>
        <v>0</v>
      </c>
      <c r="J100" s="62">
        <f t="shared" si="43"/>
        <v>0</v>
      </c>
      <c r="K100" s="62">
        <f t="shared" si="43"/>
        <v>0</v>
      </c>
      <c r="L100" s="62">
        <f t="shared" si="43"/>
        <v>0</v>
      </c>
      <c r="M100" s="62">
        <f t="shared" si="43"/>
        <v>0</v>
      </c>
      <c r="N100" s="62">
        <f t="shared" si="43"/>
        <v>0</v>
      </c>
      <c r="O100" s="62">
        <f t="shared" si="43"/>
        <v>0</v>
      </c>
      <c r="P100" s="62">
        <f t="shared" si="43"/>
        <v>0</v>
      </c>
      <c r="Q100" s="62">
        <f t="shared" si="43"/>
        <v>0</v>
      </c>
      <c r="R100" s="62">
        <f t="shared" si="43"/>
        <v>0</v>
      </c>
      <c r="S100" s="62">
        <f t="shared" si="43"/>
        <v>0</v>
      </c>
      <c r="T100" s="62">
        <f t="shared" si="43"/>
        <v>0</v>
      </c>
      <c r="U100" s="62">
        <f t="shared" si="43"/>
        <v>0</v>
      </c>
      <c r="V100" s="62">
        <f t="shared" si="43"/>
        <v>0</v>
      </c>
      <c r="W100" s="62">
        <f t="shared" si="43"/>
        <v>0</v>
      </c>
      <c r="X100" s="62">
        <f t="shared" si="43"/>
        <v>0</v>
      </c>
      <c r="Y100" s="62">
        <f t="shared" si="43"/>
        <v>0</v>
      </c>
      <c r="Z100" s="62">
        <f t="shared" si="43"/>
        <v>0</v>
      </c>
      <c r="AA100" s="62">
        <f t="shared" si="43"/>
        <v>0</v>
      </c>
      <c r="AB100" s="62">
        <f t="shared" si="43"/>
        <v>0</v>
      </c>
      <c r="AC100" s="62">
        <f t="shared" si="43"/>
        <v>0</v>
      </c>
      <c r="AD100" s="62">
        <f t="shared" si="43"/>
        <v>0</v>
      </c>
      <c r="AE100" s="62">
        <f t="shared" si="43"/>
        <v>0</v>
      </c>
      <c r="AF100" s="62">
        <f t="shared" si="43"/>
        <v>0</v>
      </c>
      <c r="AG100" s="62">
        <f t="shared" si="43"/>
        <v>0</v>
      </c>
      <c r="AH100" s="62">
        <f t="shared" si="43"/>
        <v>0</v>
      </c>
      <c r="AI100" s="62">
        <f t="shared" si="43"/>
        <v>0</v>
      </c>
      <c r="AJ100" s="62">
        <f t="shared" si="43"/>
        <v>0</v>
      </c>
      <c r="AK100" s="62">
        <f t="shared" si="43"/>
        <v>0</v>
      </c>
      <c r="AL100" s="62">
        <f t="shared" si="43"/>
        <v>0</v>
      </c>
      <c r="AM100" s="62">
        <f t="shared" si="43"/>
        <v>0</v>
      </c>
      <c r="AN100" s="62">
        <f t="shared" si="43"/>
        <v>0</v>
      </c>
      <c r="AO100" s="62">
        <f t="shared" si="43"/>
        <v>0</v>
      </c>
      <c r="AP100" s="62">
        <f t="shared" si="43"/>
        <v>0</v>
      </c>
      <c r="AQ100" s="62">
        <f t="shared" si="43"/>
        <v>0</v>
      </c>
    </row>
    <row r="101" spans="1:43" x14ac:dyDescent="0.35">
      <c r="B101" s="52" t="s">
        <v>118</v>
      </c>
      <c r="G101" s="62">
        <f>IF((G99-G100)&gt;0, (G99-G100), 0)</f>
        <v>2500.8641005498821</v>
      </c>
      <c r="H101" s="62"/>
      <c r="I101" s="62">
        <f>IF((I99-I100)&gt;0, (I99-I100), 0)</f>
        <v>2500.8641005498821</v>
      </c>
      <c r="J101" s="62">
        <f t="shared" ref="J101:AQ101" si="44">IF((J99-J100)&gt;0, (J99-J100), 0)</f>
        <v>2500.8641005498821</v>
      </c>
      <c r="K101" s="62">
        <f t="shared" si="44"/>
        <v>2500.8641005498821</v>
      </c>
      <c r="L101" s="62">
        <f t="shared" si="44"/>
        <v>2500.8641005498821</v>
      </c>
      <c r="M101" s="62">
        <f t="shared" si="44"/>
        <v>2500.8641005498821</v>
      </c>
      <c r="N101" s="62">
        <f t="shared" si="44"/>
        <v>2500.8641005498821</v>
      </c>
      <c r="O101" s="62">
        <f t="shared" si="44"/>
        <v>2500.8641005498821</v>
      </c>
      <c r="P101" s="62">
        <f t="shared" si="44"/>
        <v>2500.8641005498821</v>
      </c>
      <c r="Q101" s="62">
        <f t="shared" si="44"/>
        <v>2500.8641005498821</v>
      </c>
      <c r="R101" s="62">
        <f t="shared" si="44"/>
        <v>2500.8641005498821</v>
      </c>
      <c r="S101" s="62">
        <f t="shared" si="44"/>
        <v>2500.8641005498821</v>
      </c>
      <c r="T101" s="62">
        <f t="shared" si="44"/>
        <v>2500.8641005498821</v>
      </c>
      <c r="U101" s="62">
        <f t="shared" si="44"/>
        <v>2500.8641005498821</v>
      </c>
      <c r="V101" s="62">
        <f t="shared" si="44"/>
        <v>2500.8641005498821</v>
      </c>
      <c r="W101" s="62">
        <f t="shared" si="44"/>
        <v>2500.8641005498821</v>
      </c>
      <c r="X101" s="62">
        <f t="shared" si="44"/>
        <v>2500.8641005498821</v>
      </c>
      <c r="Y101" s="62">
        <f t="shared" si="44"/>
        <v>2500.8641005498821</v>
      </c>
      <c r="Z101" s="62">
        <f t="shared" si="44"/>
        <v>2500.8641005498821</v>
      </c>
      <c r="AA101" s="62">
        <f t="shared" si="44"/>
        <v>2500.8641005498821</v>
      </c>
      <c r="AB101" s="62">
        <f t="shared" si="44"/>
        <v>2500.8641005498821</v>
      </c>
      <c r="AC101" s="62">
        <f t="shared" si="44"/>
        <v>2500.8641005498821</v>
      </c>
      <c r="AD101" s="62">
        <f t="shared" si="44"/>
        <v>2500.8641005498821</v>
      </c>
      <c r="AE101" s="62">
        <f t="shared" si="44"/>
        <v>2500.8641005498821</v>
      </c>
      <c r="AF101" s="62">
        <f t="shared" si="44"/>
        <v>2500.8641005498821</v>
      </c>
      <c r="AG101" s="62">
        <f t="shared" si="44"/>
        <v>2500.8641005498821</v>
      </c>
      <c r="AH101" s="62">
        <f t="shared" si="44"/>
        <v>2500.8641005498821</v>
      </c>
      <c r="AI101" s="62">
        <f t="shared" si="44"/>
        <v>2500.8641005498821</v>
      </c>
      <c r="AJ101" s="62">
        <f t="shared" si="44"/>
        <v>2500.8641005498821</v>
      </c>
      <c r="AK101" s="62">
        <f t="shared" si="44"/>
        <v>2500.8641005498821</v>
      </c>
      <c r="AL101" s="62">
        <f t="shared" si="44"/>
        <v>2500.8641005498821</v>
      </c>
      <c r="AM101" s="62">
        <f t="shared" si="44"/>
        <v>2500.8641005498821</v>
      </c>
      <c r="AN101" s="62">
        <f t="shared" si="44"/>
        <v>2500.8641005498821</v>
      </c>
      <c r="AO101" s="62">
        <f t="shared" si="44"/>
        <v>2500.8641005498821</v>
      </c>
      <c r="AP101" s="62">
        <f t="shared" si="44"/>
        <v>2500.8641005498821</v>
      </c>
      <c r="AQ101" s="62">
        <f t="shared" si="44"/>
        <v>2500.8641005498821</v>
      </c>
    </row>
    <row r="102" spans="1:43" x14ac:dyDescent="0.35">
      <c r="B102" s="53" t="s">
        <v>109</v>
      </c>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row>
    <row r="103" spans="1:43" x14ac:dyDescent="0.35">
      <c r="B103" s="52" t="s">
        <v>116</v>
      </c>
      <c r="G103" s="62">
        <f>G49*(IF(G49&lt;10000, 0.005, IF(G49&lt;24999, 0.015, IF(G49&lt;47001, 0.02, 0))))</f>
        <v>0</v>
      </c>
      <c r="H103" s="62"/>
      <c r="I103" s="62">
        <f t="shared" ref="I103:AQ103" si="45">I49*(IF(I49&lt;10000, 0.005, IF(I49&lt;24999, 0.015, IF(I49&lt;47001, 0.02, 0))))</f>
        <v>0</v>
      </c>
      <c r="J103" s="62">
        <f t="shared" si="45"/>
        <v>0</v>
      </c>
      <c r="K103" s="62">
        <f t="shared" si="45"/>
        <v>0</v>
      </c>
      <c r="L103" s="62">
        <f t="shared" si="45"/>
        <v>0</v>
      </c>
      <c r="M103" s="62">
        <f t="shared" si="45"/>
        <v>0</v>
      </c>
      <c r="N103" s="62">
        <f t="shared" si="45"/>
        <v>0</v>
      </c>
      <c r="O103" s="62">
        <f t="shared" si="45"/>
        <v>0</v>
      </c>
      <c r="P103" s="62">
        <f t="shared" si="45"/>
        <v>0</v>
      </c>
      <c r="Q103" s="62">
        <f t="shared" si="45"/>
        <v>0</v>
      </c>
      <c r="R103" s="62">
        <f t="shared" si="45"/>
        <v>0</v>
      </c>
      <c r="S103" s="62">
        <f t="shared" si="45"/>
        <v>0</v>
      </c>
      <c r="T103" s="62">
        <f t="shared" si="45"/>
        <v>0</v>
      </c>
      <c r="U103" s="62">
        <f t="shared" si="45"/>
        <v>0</v>
      </c>
      <c r="V103" s="62">
        <f t="shared" si="45"/>
        <v>0</v>
      </c>
      <c r="W103" s="62">
        <f t="shared" si="45"/>
        <v>0</v>
      </c>
      <c r="X103" s="62">
        <f t="shared" si="45"/>
        <v>0</v>
      </c>
      <c r="Y103" s="62">
        <f t="shared" si="45"/>
        <v>0</v>
      </c>
      <c r="Z103" s="62">
        <f t="shared" si="45"/>
        <v>0</v>
      </c>
      <c r="AA103" s="62">
        <f t="shared" si="45"/>
        <v>0</v>
      </c>
      <c r="AB103" s="62">
        <f t="shared" si="45"/>
        <v>0</v>
      </c>
      <c r="AC103" s="62">
        <f t="shared" si="45"/>
        <v>0</v>
      </c>
      <c r="AD103" s="62">
        <f t="shared" si="45"/>
        <v>0</v>
      </c>
      <c r="AE103" s="62">
        <f t="shared" si="45"/>
        <v>0</v>
      </c>
      <c r="AF103" s="62">
        <f t="shared" si="45"/>
        <v>0</v>
      </c>
      <c r="AG103" s="62">
        <f t="shared" si="45"/>
        <v>0</v>
      </c>
      <c r="AH103" s="62">
        <f t="shared" si="45"/>
        <v>0</v>
      </c>
      <c r="AI103" s="62">
        <f t="shared" si="45"/>
        <v>0</v>
      </c>
      <c r="AJ103" s="62">
        <f t="shared" si="45"/>
        <v>0</v>
      </c>
      <c r="AK103" s="62">
        <f t="shared" si="45"/>
        <v>0</v>
      </c>
      <c r="AL103" s="62">
        <f t="shared" si="45"/>
        <v>0</v>
      </c>
      <c r="AM103" s="62">
        <f t="shared" si="45"/>
        <v>0</v>
      </c>
      <c r="AN103" s="62">
        <f t="shared" si="45"/>
        <v>0</v>
      </c>
      <c r="AO103" s="62">
        <f t="shared" si="45"/>
        <v>0</v>
      </c>
      <c r="AP103" s="62">
        <f t="shared" si="45"/>
        <v>0</v>
      </c>
      <c r="AQ103" s="62">
        <f t="shared" si="45"/>
        <v>0</v>
      </c>
    </row>
    <row r="104" spans="1:43" x14ac:dyDescent="0.35">
      <c r="B104" s="52" t="s">
        <v>110</v>
      </c>
      <c r="D104" s="52"/>
      <c r="G104" s="62">
        <f>(G64-G87)-G103</f>
        <v>4501.1160863739569</v>
      </c>
      <c r="H104" s="62"/>
      <c r="I104" s="62">
        <f t="shared" ref="I104:AQ104" si="46">(I64-I87)-I103</f>
        <v>4939.3962176150962</v>
      </c>
      <c r="J104" s="62">
        <f t="shared" si="46"/>
        <v>5264.2300234468294</v>
      </c>
      <c r="K104" s="62">
        <f t="shared" si="46"/>
        <v>5300.8709225731391</v>
      </c>
      <c r="L104" s="62">
        <f t="shared" si="46"/>
        <v>5408.6950786940124</v>
      </c>
      <c r="M104" s="62">
        <f t="shared" si="46"/>
        <v>5570.1986756281476</v>
      </c>
      <c r="N104" s="62">
        <f t="shared" si="46"/>
        <v>5595.0346680752627</v>
      </c>
      <c r="O104" s="62">
        <f t="shared" si="46"/>
        <v>5595.0346680752627</v>
      </c>
      <c r="P104" s="62">
        <f t="shared" si="46"/>
        <v>5595.0346680752627</v>
      </c>
      <c r="Q104" s="62">
        <f t="shared" si="46"/>
        <v>5595.0346680752627</v>
      </c>
      <c r="R104" s="62">
        <f t="shared" si="46"/>
        <v>5595.0346680752637</v>
      </c>
      <c r="S104" s="62">
        <f t="shared" si="46"/>
        <v>5595.0346680752627</v>
      </c>
      <c r="T104" s="62">
        <f t="shared" si="46"/>
        <v>5595.0346680752627</v>
      </c>
      <c r="U104" s="62">
        <f t="shared" si="46"/>
        <v>5595.0346680752627</v>
      </c>
      <c r="V104" s="62">
        <f t="shared" si="46"/>
        <v>5595.0346680752627</v>
      </c>
      <c r="W104" s="62">
        <f t="shared" si="46"/>
        <v>5595.0346680752627</v>
      </c>
      <c r="X104" s="62">
        <f t="shared" si="46"/>
        <v>5595.0346680752618</v>
      </c>
      <c r="Y104" s="62">
        <f t="shared" si="46"/>
        <v>5595.0346680752618</v>
      </c>
      <c r="Z104" s="62">
        <f t="shared" si="46"/>
        <v>5595.0346680752609</v>
      </c>
      <c r="AA104" s="62">
        <f t="shared" si="46"/>
        <v>5595.0346680752609</v>
      </c>
      <c r="AB104" s="62">
        <f t="shared" si="46"/>
        <v>5595.0346680752618</v>
      </c>
      <c r="AC104" s="62">
        <f t="shared" si="46"/>
        <v>5595.0346680752609</v>
      </c>
      <c r="AD104" s="62">
        <f t="shared" si="46"/>
        <v>5595.0346680752609</v>
      </c>
      <c r="AE104" s="62">
        <f t="shared" si="46"/>
        <v>5595.0346680752609</v>
      </c>
      <c r="AF104" s="62">
        <f t="shared" si="46"/>
        <v>5595.0346680752609</v>
      </c>
      <c r="AG104" s="62">
        <f t="shared" si="46"/>
        <v>5595.0346680752609</v>
      </c>
      <c r="AH104" s="62">
        <f t="shared" si="46"/>
        <v>5595.0346680752609</v>
      </c>
      <c r="AI104" s="62">
        <f t="shared" si="46"/>
        <v>5595.0346680752609</v>
      </c>
      <c r="AJ104" s="62">
        <f t="shared" si="46"/>
        <v>5595.0346680752609</v>
      </c>
      <c r="AK104" s="62">
        <f t="shared" si="46"/>
        <v>5595.0346680752609</v>
      </c>
      <c r="AL104" s="62">
        <f t="shared" si="46"/>
        <v>5595.0346680752609</v>
      </c>
      <c r="AM104" s="62">
        <f t="shared" si="46"/>
        <v>5595.0346680752609</v>
      </c>
      <c r="AN104" s="62">
        <f t="shared" si="46"/>
        <v>5595.0346680752609</v>
      </c>
      <c r="AO104" s="62">
        <f t="shared" si="46"/>
        <v>5595.0346680752609</v>
      </c>
      <c r="AP104" s="62">
        <f t="shared" si="46"/>
        <v>5595.0346680752609</v>
      </c>
      <c r="AQ104" s="62">
        <f t="shared" si="46"/>
        <v>5595.0346680752609</v>
      </c>
    </row>
    <row r="105" spans="1:43" x14ac:dyDescent="0.35">
      <c r="B105" s="52" t="s">
        <v>111</v>
      </c>
      <c r="D105" s="52"/>
      <c r="G105" s="62">
        <f>(G65-G88)-G103</f>
        <v>5202.3446595514251</v>
      </c>
      <c r="H105" s="62"/>
      <c r="I105" s="62">
        <f t="shared" ref="I105:AQ105" si="47">(I65-I88)-I103</f>
        <v>4939.3962176150962</v>
      </c>
      <c r="J105" s="62">
        <f t="shared" si="47"/>
        <v>5264.2300234468294</v>
      </c>
      <c r="K105" s="62">
        <f t="shared" si="47"/>
        <v>5300.8709225731391</v>
      </c>
      <c r="L105" s="62">
        <f t="shared" si="47"/>
        <v>5408.6950786940124</v>
      </c>
      <c r="M105" s="62">
        <f t="shared" si="47"/>
        <v>6464.0072717254243</v>
      </c>
      <c r="N105" s="62">
        <f t="shared" si="47"/>
        <v>6489.0917115906832</v>
      </c>
      <c r="O105" s="62">
        <f t="shared" si="47"/>
        <v>6488.301240438348</v>
      </c>
      <c r="P105" s="62">
        <f t="shared" si="47"/>
        <v>6486.5418316274245</v>
      </c>
      <c r="Q105" s="62">
        <f t="shared" si="47"/>
        <v>6483.8799211172363</v>
      </c>
      <c r="R105" s="62">
        <f t="shared" si="47"/>
        <v>6506.9861330842486</v>
      </c>
      <c r="S105" s="62">
        <f t="shared" si="47"/>
        <v>6461.407394023493</v>
      </c>
      <c r="T105" s="62">
        <f t="shared" si="47"/>
        <v>6417.8684123436033</v>
      </c>
      <c r="U105" s="62">
        <f t="shared" si="47"/>
        <v>6376.2833550338682</v>
      </c>
      <c r="V105" s="62">
        <f t="shared" si="47"/>
        <v>6336.5698616489517</v>
      </c>
      <c r="W105" s="62">
        <f t="shared" si="47"/>
        <v>6298.6489076037724</v>
      </c>
      <c r="X105" s="62">
        <f t="shared" si="47"/>
        <v>6262.4446727431223</v>
      </c>
      <c r="Y105" s="62">
        <f t="shared" si="47"/>
        <v>6227.8844149855377</v>
      </c>
      <c r="Z105" s="62">
        <f t="shared" si="47"/>
        <v>6194.8983488485928</v>
      </c>
      <c r="AA105" s="62">
        <f t="shared" si="47"/>
        <v>6163.4195286699241</v>
      </c>
      <c r="AB105" s="62">
        <f t="shared" si="47"/>
        <v>6133.3837363453476</v>
      </c>
      <c r="AC105" s="62">
        <f t="shared" si="47"/>
        <v>6104.7293734120603</v>
      </c>
      <c r="AD105" s="62">
        <f t="shared" si="47"/>
        <v>6077.3973573115009</v>
      </c>
      <c r="AE105" s="62">
        <f t="shared" si="47"/>
        <v>6051.3310216725122</v>
      </c>
      <c r="AF105" s="62">
        <f t="shared" si="47"/>
        <v>6026.4760204616141</v>
      </c>
      <c r="AG105" s="62">
        <f t="shared" si="47"/>
        <v>6002.7802358528061</v>
      </c>
      <c r="AH105" s="62">
        <f t="shared" si="47"/>
        <v>5980.1936896749849</v>
      </c>
      <c r="AI105" s="62">
        <f t="shared" si="47"/>
        <v>5958.6684583003607</v>
      </c>
      <c r="AJ105" s="62">
        <f t="shared" si="47"/>
        <v>5938.158590842404</v>
      </c>
      <c r="AK105" s="62">
        <f t="shared" si="47"/>
        <v>5918.6200305368238</v>
      </c>
      <c r="AL105" s="62">
        <f t="shared" si="47"/>
        <v>5900.0105391838424</v>
      </c>
      <c r="AM105" s="62">
        <f t="shared" si="47"/>
        <v>5882.2896245346437</v>
      </c>
      <c r="AN105" s="62">
        <f t="shared" si="47"/>
        <v>5865.4184705092412</v>
      </c>
      <c r="AO105" s="62">
        <f t="shared" si="47"/>
        <v>5849.3598701373448</v>
      </c>
      <c r="AP105" s="62">
        <f t="shared" si="47"/>
        <v>5834.0781611178381</v>
      </c>
      <c r="AQ105" s="62">
        <f t="shared" si="47"/>
        <v>5819.5391638964456</v>
      </c>
    </row>
    <row r="106" spans="1:43" x14ac:dyDescent="0.35">
      <c r="B106" s="52"/>
      <c r="D106" s="5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row>
    <row r="107" spans="1:43" x14ac:dyDescent="0.35">
      <c r="B107" s="52" t="s">
        <v>112</v>
      </c>
      <c r="D107" s="52"/>
      <c r="G107" s="62">
        <f>IF(G49&gt;=90000, G70, IF(G49&gt;=47000, G72, G74))</f>
        <v>3113.8740121954106</v>
      </c>
      <c r="H107" s="62"/>
      <c r="I107" s="62">
        <f t="shared" ref="I107:AQ107" si="48">IF(I49&gt;=90000, I70, IF(I49&gt;=47000, I72, I74))</f>
        <v>3431.4579776379524</v>
      </c>
      <c r="J107" s="62">
        <f t="shared" si="48"/>
        <v>3641.7965566036382</v>
      </c>
      <c r="K107" s="62">
        <f t="shared" si="48"/>
        <v>3667.1447461156304</v>
      </c>
      <c r="L107" s="62">
        <f t="shared" si="48"/>
        <v>3741.7375429217609</v>
      </c>
      <c r="M107" s="62">
        <f t="shared" si="48"/>
        <v>3853.4657995849684</v>
      </c>
      <c r="N107" s="62">
        <f t="shared" si="48"/>
        <v>3870.6473496636863</v>
      </c>
      <c r="O107" s="62">
        <f t="shared" si="48"/>
        <v>3870.6473496636863</v>
      </c>
      <c r="P107" s="62">
        <f t="shared" si="48"/>
        <v>3870.6473496636863</v>
      </c>
      <c r="Q107" s="62">
        <f t="shared" si="48"/>
        <v>3870.6473496636863</v>
      </c>
      <c r="R107" s="62">
        <f t="shared" si="48"/>
        <v>3870.6473496636872</v>
      </c>
      <c r="S107" s="62">
        <f t="shared" si="48"/>
        <v>3870.6473496636863</v>
      </c>
      <c r="T107" s="62">
        <f t="shared" si="48"/>
        <v>3870.6473496636863</v>
      </c>
      <c r="U107" s="62">
        <f t="shared" si="48"/>
        <v>3870.6473496636863</v>
      </c>
      <c r="V107" s="62">
        <f t="shared" si="48"/>
        <v>3870.6473496636863</v>
      </c>
      <c r="W107" s="62">
        <f t="shared" si="48"/>
        <v>3870.6473496636845</v>
      </c>
      <c r="X107" s="62">
        <f t="shared" si="48"/>
        <v>3870.6473496636836</v>
      </c>
      <c r="Y107" s="62">
        <f t="shared" si="48"/>
        <v>3870.6473496636836</v>
      </c>
      <c r="Z107" s="62">
        <f t="shared" si="48"/>
        <v>3870.6473496636845</v>
      </c>
      <c r="AA107" s="62">
        <f t="shared" si="48"/>
        <v>3870.6473496636845</v>
      </c>
      <c r="AB107" s="62">
        <f t="shared" si="48"/>
        <v>3870.6473496636836</v>
      </c>
      <c r="AC107" s="62">
        <f t="shared" si="48"/>
        <v>3870.6473496636845</v>
      </c>
      <c r="AD107" s="62">
        <f t="shared" si="48"/>
        <v>3870.6473496636827</v>
      </c>
      <c r="AE107" s="62">
        <f t="shared" si="48"/>
        <v>3870.6473496636827</v>
      </c>
      <c r="AF107" s="62">
        <f t="shared" si="48"/>
        <v>3870.6473496636827</v>
      </c>
      <c r="AG107" s="62">
        <f t="shared" si="48"/>
        <v>3870.6473496636809</v>
      </c>
      <c r="AH107" s="62">
        <f t="shared" si="48"/>
        <v>3870.6473496636827</v>
      </c>
      <c r="AI107" s="62">
        <f t="shared" si="48"/>
        <v>3870.6473496636827</v>
      </c>
      <c r="AJ107" s="62">
        <f t="shared" si="48"/>
        <v>3870.6473496636827</v>
      </c>
      <c r="AK107" s="62">
        <f t="shared" si="48"/>
        <v>3870.6473496636845</v>
      </c>
      <c r="AL107" s="62">
        <f t="shared" si="48"/>
        <v>3870.6473496636827</v>
      </c>
      <c r="AM107" s="62">
        <f t="shared" si="48"/>
        <v>3870.6473496636845</v>
      </c>
      <c r="AN107" s="62">
        <f t="shared" si="48"/>
        <v>3870.6473496636845</v>
      </c>
      <c r="AO107" s="62">
        <f t="shared" si="48"/>
        <v>3870.6473496636827</v>
      </c>
      <c r="AP107" s="62">
        <f t="shared" si="48"/>
        <v>3870.6473496636845</v>
      </c>
      <c r="AQ107" s="62">
        <f t="shared" si="48"/>
        <v>3870.6473496636827</v>
      </c>
    </row>
    <row r="108" spans="1:43" x14ac:dyDescent="0.35">
      <c r="B108" s="52" t="s">
        <v>113</v>
      </c>
      <c r="D108" s="52"/>
      <c r="G108" s="62">
        <f>IF(G49&gt;=90000, G71, IF(G49&gt;=47000, G73, G75))</f>
        <v>2412.6454390179424</v>
      </c>
      <c r="H108" s="62"/>
      <c r="I108" s="62">
        <f t="shared" ref="I108:AQ108" si="49">IF(I49&gt;=90000, I71, IF(I49&gt;=47000, I73, I75))</f>
        <v>3431.4579776379524</v>
      </c>
      <c r="J108" s="62">
        <f t="shared" si="49"/>
        <v>3641.7965566036382</v>
      </c>
      <c r="K108" s="62">
        <f t="shared" si="49"/>
        <v>3667.1447461156304</v>
      </c>
      <c r="L108" s="62">
        <f t="shared" si="49"/>
        <v>3741.7375429217609</v>
      </c>
      <c r="M108" s="62">
        <f t="shared" si="49"/>
        <v>4471.8029643805294</v>
      </c>
      <c r="N108" s="62">
        <f t="shared" si="49"/>
        <v>4489.156390488195</v>
      </c>
      <c r="O108" s="62">
        <f t="shared" si="49"/>
        <v>4488.6095422106991</v>
      </c>
      <c r="P108" s="62">
        <f t="shared" si="49"/>
        <v>4487.3923824512003</v>
      </c>
      <c r="Q108" s="62">
        <f t="shared" si="49"/>
        <v>4485.5508716344621</v>
      </c>
      <c r="R108" s="62">
        <f t="shared" si="49"/>
        <v>4501.5357588454735</v>
      </c>
      <c r="S108" s="62">
        <f t="shared" si="49"/>
        <v>4470.0043678867796</v>
      </c>
      <c r="T108" s="62">
        <f t="shared" si="49"/>
        <v>4439.8840819468351</v>
      </c>
      <c r="U108" s="62">
        <f t="shared" si="49"/>
        <v>4411.1155217125333</v>
      </c>
      <c r="V108" s="62">
        <f t="shared" si="49"/>
        <v>4383.6417101929492</v>
      </c>
      <c r="W108" s="62">
        <f t="shared" si="49"/>
        <v>4357.4079781467171</v>
      </c>
      <c r="X108" s="62">
        <f t="shared" si="49"/>
        <v>4332.3618731583811</v>
      </c>
      <c r="Y108" s="62">
        <f t="shared" si="49"/>
        <v>4308.4530722252293</v>
      </c>
      <c r="Z108" s="62">
        <f t="shared" si="49"/>
        <v>4285.633297721005</v>
      </c>
      <c r="AA108" s="62">
        <f t="shared" si="49"/>
        <v>4263.8562366081705</v>
      </c>
      <c r="AB108" s="62">
        <f t="shared" si="49"/>
        <v>4243.0774627750925</v>
      </c>
      <c r="AC108" s="62">
        <f t="shared" si="49"/>
        <v>4223.2543623791507</v>
      </c>
      <c r="AD108" s="62">
        <f t="shared" si="49"/>
        <v>4204.3460620813466</v>
      </c>
      <c r="AE108" s="62">
        <f t="shared" si="49"/>
        <v>4186.313360062145</v>
      </c>
      <c r="AF108" s="62">
        <f t="shared" si="49"/>
        <v>4169.1186597126034</v>
      </c>
      <c r="AG108" s="62">
        <f t="shared" si="49"/>
        <v>4152.7259058986492</v>
      </c>
      <c r="AH108" s="62">
        <f t="shared" si="49"/>
        <v>4137.100523700381</v>
      </c>
      <c r="AI108" s="62">
        <f t="shared" si="49"/>
        <v>4122.2093595318238</v>
      </c>
      <c r="AJ108" s="62">
        <f t="shared" si="49"/>
        <v>4108.0206245502395</v>
      </c>
      <c r="AK108" s="62">
        <f t="shared" si="49"/>
        <v>4094.5038402674618</v>
      </c>
      <c r="AL108" s="62">
        <f t="shared" si="49"/>
        <v>4081.6297862790216</v>
      </c>
      <c r="AM108" s="62">
        <f t="shared" si="49"/>
        <v>4069.3704500300591</v>
      </c>
      <c r="AN108" s="62">
        <f t="shared" si="49"/>
        <v>4057.6989785400256</v>
      </c>
      <c r="AO108" s="62">
        <f t="shared" si="49"/>
        <v>4046.5896320111369</v>
      </c>
      <c r="AP108" s="62">
        <f t="shared" si="49"/>
        <v>4036.0177392483993</v>
      </c>
      <c r="AQ108" s="62">
        <f t="shared" si="49"/>
        <v>4025.9596548217114</v>
      </c>
    </row>
    <row r="109" spans="1:43" x14ac:dyDescent="0.35">
      <c r="B109" s="27"/>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row>
    <row r="110" spans="1:43" x14ac:dyDescent="0.35">
      <c r="A110" s="42" t="s">
        <v>84</v>
      </c>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row>
    <row r="111" spans="1:43" x14ac:dyDescent="0.35">
      <c r="A111" s="42"/>
      <c r="B111" s="27" t="s">
        <v>96</v>
      </c>
      <c r="E111" s="43"/>
      <c r="G111" s="60">
        <f>G64-G76</f>
        <v>4501.1160863739569</v>
      </c>
      <c r="H111" s="60"/>
      <c r="I111" s="60">
        <f t="shared" ref="I111:AQ112" si="50">I64-I76</f>
        <v>4939.3962176150962</v>
      </c>
      <c r="J111" s="60">
        <f t="shared" si="50"/>
        <v>5264.2300234468294</v>
      </c>
      <c r="K111" s="60">
        <f t="shared" si="50"/>
        <v>5300.8709225731391</v>
      </c>
      <c r="L111" s="60">
        <f t="shared" si="50"/>
        <v>5408.6950786940124</v>
      </c>
      <c r="M111" s="60">
        <f t="shared" si="50"/>
        <v>5570.1986756281476</v>
      </c>
      <c r="N111" s="60">
        <f t="shared" si="50"/>
        <v>5595.0346680752627</v>
      </c>
      <c r="O111" s="60">
        <f t="shared" si="50"/>
        <v>5595.0346680752627</v>
      </c>
      <c r="P111" s="60">
        <f t="shared" si="50"/>
        <v>5595.0346680752627</v>
      </c>
      <c r="Q111" s="60">
        <f t="shared" si="50"/>
        <v>5595.0346680752627</v>
      </c>
      <c r="R111" s="60">
        <f t="shared" si="50"/>
        <v>5595.0346680752637</v>
      </c>
      <c r="S111" s="60">
        <f t="shared" si="50"/>
        <v>5595.0346680752627</v>
      </c>
      <c r="T111" s="60">
        <f t="shared" si="50"/>
        <v>5595.0346680752627</v>
      </c>
      <c r="U111" s="60">
        <f t="shared" si="50"/>
        <v>5595.0346680752627</v>
      </c>
      <c r="V111" s="60">
        <f t="shared" si="50"/>
        <v>5595.0346680752627</v>
      </c>
      <c r="W111" s="60">
        <f t="shared" si="50"/>
        <v>5595.0346680752627</v>
      </c>
      <c r="X111" s="60">
        <f t="shared" si="50"/>
        <v>5595.0346680752618</v>
      </c>
      <c r="Y111" s="60">
        <f t="shared" si="50"/>
        <v>5595.0346680752618</v>
      </c>
      <c r="Z111" s="60">
        <f t="shared" si="50"/>
        <v>5595.0346680752609</v>
      </c>
      <c r="AA111" s="60">
        <f t="shared" si="50"/>
        <v>5595.0346680752609</v>
      </c>
      <c r="AB111" s="60">
        <f t="shared" si="50"/>
        <v>5595.0346680752618</v>
      </c>
      <c r="AC111" s="60">
        <f t="shared" si="50"/>
        <v>5595.0346680752609</v>
      </c>
      <c r="AD111" s="60">
        <f t="shared" si="50"/>
        <v>5595.0346680752609</v>
      </c>
      <c r="AE111" s="60">
        <f t="shared" si="50"/>
        <v>5595.0346680752609</v>
      </c>
      <c r="AF111" s="60">
        <f t="shared" si="50"/>
        <v>5595.0346680752609</v>
      </c>
      <c r="AG111" s="60">
        <f t="shared" si="50"/>
        <v>5595.0346680752609</v>
      </c>
      <c r="AH111" s="60">
        <f t="shared" si="50"/>
        <v>5595.0346680752609</v>
      </c>
      <c r="AI111" s="60">
        <f t="shared" si="50"/>
        <v>5595.0346680752609</v>
      </c>
      <c r="AJ111" s="60">
        <f t="shared" si="50"/>
        <v>5595.0346680752609</v>
      </c>
      <c r="AK111" s="60">
        <f t="shared" si="50"/>
        <v>5595.0346680752609</v>
      </c>
      <c r="AL111" s="60">
        <f t="shared" si="50"/>
        <v>5595.0346680752609</v>
      </c>
      <c r="AM111" s="60">
        <f t="shared" si="50"/>
        <v>5595.0346680752609</v>
      </c>
      <c r="AN111" s="60">
        <f t="shared" si="50"/>
        <v>5595.0346680752609</v>
      </c>
      <c r="AO111" s="60">
        <f t="shared" si="50"/>
        <v>5595.0346680752609</v>
      </c>
      <c r="AP111" s="60">
        <f t="shared" si="50"/>
        <v>5595.0346680752609</v>
      </c>
      <c r="AQ111" s="60">
        <f t="shared" si="50"/>
        <v>5595.0346680752609</v>
      </c>
    </row>
    <row r="112" spans="1:43" x14ac:dyDescent="0.35">
      <c r="B112" s="27" t="s">
        <v>97</v>
      </c>
      <c r="G112" s="60">
        <f>G65-G77</f>
        <v>5202.3446595514251</v>
      </c>
      <c r="H112" s="60"/>
      <c r="I112" s="60">
        <f t="shared" si="50"/>
        <v>4939.3962176150962</v>
      </c>
      <c r="J112" s="60">
        <f t="shared" si="50"/>
        <v>5264.2300234468294</v>
      </c>
      <c r="K112" s="60">
        <f t="shared" si="50"/>
        <v>5300.8709225731391</v>
      </c>
      <c r="L112" s="60">
        <f t="shared" si="50"/>
        <v>5408.6950786940124</v>
      </c>
      <c r="M112" s="60">
        <f t="shared" si="50"/>
        <v>6464.0072717254243</v>
      </c>
      <c r="N112" s="60">
        <f t="shared" si="50"/>
        <v>6489.0917115906832</v>
      </c>
      <c r="O112" s="60">
        <f t="shared" si="50"/>
        <v>6488.301240438348</v>
      </c>
      <c r="P112" s="60">
        <f t="shared" si="50"/>
        <v>6486.5418316274245</v>
      </c>
      <c r="Q112" s="60">
        <f t="shared" si="50"/>
        <v>6483.8799211172363</v>
      </c>
      <c r="R112" s="60">
        <f t="shared" si="50"/>
        <v>6506.9861330842486</v>
      </c>
      <c r="S112" s="60">
        <f t="shared" si="50"/>
        <v>6461.407394023493</v>
      </c>
      <c r="T112" s="60">
        <f t="shared" si="50"/>
        <v>6417.8684123436033</v>
      </c>
      <c r="U112" s="60">
        <f t="shared" si="50"/>
        <v>6376.2833550338682</v>
      </c>
      <c r="V112" s="60">
        <f t="shared" si="50"/>
        <v>6336.5698616489517</v>
      </c>
      <c r="W112" s="60">
        <f t="shared" si="50"/>
        <v>6298.6489076037724</v>
      </c>
      <c r="X112" s="60">
        <f t="shared" si="50"/>
        <v>6262.4446727431223</v>
      </c>
      <c r="Y112" s="60">
        <f t="shared" si="50"/>
        <v>6227.8844149855377</v>
      </c>
      <c r="Z112" s="60">
        <f t="shared" si="50"/>
        <v>6194.8983488485928</v>
      </c>
      <c r="AA112" s="60">
        <f t="shared" si="50"/>
        <v>6163.4195286699241</v>
      </c>
      <c r="AB112" s="60">
        <f t="shared" si="50"/>
        <v>6133.3837363453476</v>
      </c>
      <c r="AC112" s="60">
        <f t="shared" si="50"/>
        <v>6104.7293734120603</v>
      </c>
      <c r="AD112" s="60">
        <f t="shared" si="50"/>
        <v>6077.3973573115009</v>
      </c>
      <c r="AE112" s="60">
        <f t="shared" si="50"/>
        <v>6051.3310216725122</v>
      </c>
      <c r="AF112" s="60">
        <f t="shared" si="50"/>
        <v>6026.4760204616141</v>
      </c>
      <c r="AG112" s="60">
        <f t="shared" si="50"/>
        <v>6002.7802358528061</v>
      </c>
      <c r="AH112" s="60">
        <f t="shared" si="50"/>
        <v>5980.1936896749849</v>
      </c>
      <c r="AI112" s="60">
        <f t="shared" si="50"/>
        <v>5958.6684583003607</v>
      </c>
      <c r="AJ112" s="60">
        <f t="shared" si="50"/>
        <v>5938.158590842404</v>
      </c>
      <c r="AK112" s="60">
        <f t="shared" si="50"/>
        <v>5918.6200305368238</v>
      </c>
      <c r="AL112" s="60">
        <f t="shared" si="50"/>
        <v>5900.0105391838424</v>
      </c>
      <c r="AM112" s="60">
        <f t="shared" si="50"/>
        <v>5882.2896245346437</v>
      </c>
      <c r="AN112" s="60">
        <f t="shared" si="50"/>
        <v>5865.4184705092412</v>
      </c>
      <c r="AO112" s="60">
        <f t="shared" si="50"/>
        <v>5849.3598701373448</v>
      </c>
      <c r="AP112" s="60">
        <f t="shared" si="50"/>
        <v>5834.0781611178381</v>
      </c>
      <c r="AQ112" s="60">
        <f t="shared" si="50"/>
        <v>5819.5391638964456</v>
      </c>
    </row>
    <row r="113" spans="1:43" x14ac:dyDescent="0.35">
      <c r="B113" s="27" t="s">
        <v>66</v>
      </c>
      <c r="G113" s="60">
        <f xml:space="preserve"> G112-G111</f>
        <v>701.22857317746821</v>
      </c>
      <c r="H113" s="60"/>
      <c r="I113" s="60">
        <f xml:space="preserve"> I112-I111</f>
        <v>0</v>
      </c>
      <c r="J113" s="60">
        <f t="shared" ref="J113:AQ113" si="51" xml:space="preserve"> J112-J111</f>
        <v>0</v>
      </c>
      <c r="K113" s="60">
        <f t="shared" si="51"/>
        <v>0</v>
      </c>
      <c r="L113" s="60">
        <f t="shared" si="51"/>
        <v>0</v>
      </c>
      <c r="M113" s="60">
        <f t="shared" si="51"/>
        <v>893.80859609727668</v>
      </c>
      <c r="N113" s="60">
        <f t="shared" si="51"/>
        <v>894.05704351542045</v>
      </c>
      <c r="O113" s="60">
        <f t="shared" si="51"/>
        <v>893.26657236308529</v>
      </c>
      <c r="P113" s="60">
        <f t="shared" si="51"/>
        <v>891.50716355216173</v>
      </c>
      <c r="Q113" s="60">
        <f t="shared" si="51"/>
        <v>888.84525304197359</v>
      </c>
      <c r="R113" s="60">
        <f t="shared" si="51"/>
        <v>911.951465008985</v>
      </c>
      <c r="S113" s="60">
        <f t="shared" si="51"/>
        <v>866.37272594823025</v>
      </c>
      <c r="T113" s="60">
        <f t="shared" si="51"/>
        <v>822.83374426834052</v>
      </c>
      <c r="U113" s="60">
        <f t="shared" si="51"/>
        <v>781.2486869586055</v>
      </c>
      <c r="V113" s="60">
        <f t="shared" si="51"/>
        <v>741.53519357368896</v>
      </c>
      <c r="W113" s="60">
        <f t="shared" si="51"/>
        <v>703.61423952850964</v>
      </c>
      <c r="X113" s="60">
        <f t="shared" si="51"/>
        <v>667.41000466786045</v>
      </c>
      <c r="Y113" s="60">
        <f t="shared" si="51"/>
        <v>632.84974691027583</v>
      </c>
      <c r="Z113" s="60">
        <f t="shared" si="51"/>
        <v>599.86368077333191</v>
      </c>
      <c r="AA113" s="60">
        <f t="shared" si="51"/>
        <v>568.38486059466322</v>
      </c>
      <c r="AB113" s="60">
        <f t="shared" si="51"/>
        <v>538.34906827008581</v>
      </c>
      <c r="AC113" s="60">
        <f t="shared" si="51"/>
        <v>509.69470533679942</v>
      </c>
      <c r="AD113" s="60">
        <f t="shared" si="51"/>
        <v>482.36268923623993</v>
      </c>
      <c r="AE113" s="60">
        <f t="shared" si="51"/>
        <v>456.29635359725125</v>
      </c>
      <c r="AF113" s="60">
        <f t="shared" si="51"/>
        <v>431.44135238635317</v>
      </c>
      <c r="AG113" s="60">
        <f t="shared" si="51"/>
        <v>407.74556777754515</v>
      </c>
      <c r="AH113" s="60">
        <f t="shared" si="51"/>
        <v>385.15902159972393</v>
      </c>
      <c r="AI113" s="60">
        <f t="shared" si="51"/>
        <v>363.6337902250998</v>
      </c>
      <c r="AJ113" s="60">
        <f t="shared" si="51"/>
        <v>343.12392276714309</v>
      </c>
      <c r="AK113" s="60">
        <f t="shared" si="51"/>
        <v>323.58536246156291</v>
      </c>
      <c r="AL113" s="60">
        <f t="shared" si="51"/>
        <v>304.97587110858149</v>
      </c>
      <c r="AM113" s="60">
        <f t="shared" si="51"/>
        <v>287.25495645938281</v>
      </c>
      <c r="AN113" s="60">
        <f t="shared" si="51"/>
        <v>270.38380243398024</v>
      </c>
      <c r="AO113" s="60">
        <f t="shared" si="51"/>
        <v>254.32520206208392</v>
      </c>
      <c r="AP113" s="60">
        <f t="shared" si="51"/>
        <v>239.04349304257721</v>
      </c>
      <c r="AQ113" s="60">
        <f t="shared" si="51"/>
        <v>224.50449582118472</v>
      </c>
    </row>
    <row r="114" spans="1:43" x14ac:dyDescent="0.35">
      <c r="B114" s="27" t="s">
        <v>67</v>
      </c>
      <c r="G114" s="59">
        <f>G113/G111</f>
        <v>0.15578993292358501</v>
      </c>
      <c r="H114" s="59"/>
      <c r="I114" s="59">
        <f>I113/I111</f>
        <v>0</v>
      </c>
      <c r="J114" s="59">
        <f t="shared" ref="J114:AQ114" si="52">J113/J111</f>
        <v>0</v>
      </c>
      <c r="K114" s="59">
        <f t="shared" si="52"/>
        <v>0</v>
      </c>
      <c r="L114" s="59">
        <f t="shared" si="52"/>
        <v>0</v>
      </c>
      <c r="M114" s="59">
        <f t="shared" si="52"/>
        <v>0.16046260611996618</v>
      </c>
      <c r="N114" s="59">
        <f t="shared" si="52"/>
        <v>0.15979472810362108</v>
      </c>
      <c r="O114" s="59">
        <f t="shared" si="52"/>
        <v>0.15965344727173536</v>
      </c>
      <c r="P114" s="59">
        <f t="shared" si="52"/>
        <v>0.15933898830672436</v>
      </c>
      <c r="Q114" s="59">
        <f t="shared" si="52"/>
        <v>0.15886322530111213</v>
      </c>
      <c r="R114" s="59">
        <f t="shared" si="52"/>
        <v>0.16299299631019151</v>
      </c>
      <c r="S114" s="59">
        <f t="shared" si="52"/>
        <v>0.15484671272756734</v>
      </c>
      <c r="T114" s="59">
        <f t="shared" si="52"/>
        <v>0.14706499478249024</v>
      </c>
      <c r="U114" s="59">
        <f t="shared" si="52"/>
        <v>0.1396325015493356</v>
      </c>
      <c r="V114" s="59">
        <f t="shared" si="52"/>
        <v>0.13253451275374906</v>
      </c>
      <c r="W114" s="59">
        <f t="shared" si="52"/>
        <v>0.12575690433935391</v>
      </c>
      <c r="X114" s="59">
        <f t="shared" si="52"/>
        <v>0.11928612497721217</v>
      </c>
      <c r="Y114" s="59">
        <f t="shared" si="52"/>
        <v>0.11310917348220496</v>
      </c>
      <c r="Z114" s="59">
        <f t="shared" si="52"/>
        <v>0.10721357710187167</v>
      </c>
      <c r="AA114" s="59">
        <f t="shared" si="52"/>
        <v>0.10158737064451334</v>
      </c>
      <c r="AB114" s="59">
        <f t="shared" si="52"/>
        <v>9.6219076414638616E-2</v>
      </c>
      <c r="AC114" s="59">
        <f t="shared" si="52"/>
        <v>9.109768492500489E-2</v>
      </c>
      <c r="AD114" s="59">
        <f t="shared" si="52"/>
        <v>8.6212636355687988E-2</v>
      </c>
      <c r="AE114" s="59">
        <f t="shared" si="52"/>
        <v>8.1553802731703373E-2</v>
      </c>
      <c r="AF114" s="59">
        <f t="shared" si="52"/>
        <v>7.7111470791792716E-2</v>
      </c>
      <c r="AG114" s="59">
        <f t="shared" si="52"/>
        <v>7.2876325522003071E-2</v>
      </c>
      <c r="AH114" s="59">
        <f t="shared" si="52"/>
        <v>6.8839434328692356E-2</v>
      </c>
      <c r="AI114" s="59">
        <f t="shared" si="52"/>
        <v>6.4992231826544317E-2</v>
      </c>
      <c r="AJ114" s="59">
        <f t="shared" si="52"/>
        <v>6.1326505218095566E-2</v>
      </c>
      <c r="AK114" s="59">
        <f t="shared" si="52"/>
        <v>5.7834380242165508E-2</v>
      </c>
      <c r="AL114" s="59">
        <f t="shared" si="52"/>
        <v>5.4508307669431433E-2</v>
      </c>
      <c r="AM114" s="59">
        <f t="shared" si="52"/>
        <v>5.1341050324215584E-2</v>
      </c>
      <c r="AN114" s="59">
        <f t="shared" si="52"/>
        <v>4.8325670612331444E-2</v>
      </c>
      <c r="AO114" s="59">
        <f t="shared" si="52"/>
        <v>4.5455518535611493E-2</v>
      </c>
      <c r="AP114" s="59">
        <f t="shared" si="52"/>
        <v>4.2724220174458753E-2</v>
      </c>
      <c r="AQ114" s="59">
        <f t="shared" si="52"/>
        <v>4.0125666620474426E-2</v>
      </c>
    </row>
    <row r="115" spans="1:43" x14ac:dyDescent="0.35">
      <c r="B115" s="27"/>
      <c r="G115" s="48"/>
      <c r="H115" s="48"/>
      <c r="I115" s="112"/>
    </row>
    <row r="117" spans="1:43" x14ac:dyDescent="0.35">
      <c r="A117" s="42" t="s">
        <v>102</v>
      </c>
      <c r="G117" s="27"/>
      <c r="H117" s="27"/>
      <c r="I117" s="113"/>
      <c r="J117" s="113"/>
      <c r="K117" s="113"/>
      <c r="L117" s="113"/>
      <c r="M117" s="113"/>
      <c r="N117" s="113"/>
      <c r="O117" s="113"/>
    </row>
    <row r="118" spans="1:43" x14ac:dyDescent="0.35">
      <c r="A118" s="42"/>
      <c r="B118" s="27" t="s">
        <v>69</v>
      </c>
      <c r="F118" s="44"/>
      <c r="G118" s="41">
        <f>G30*G49/100</f>
        <v>2425.4873566496203</v>
      </c>
      <c r="H118" s="41"/>
      <c r="I118" s="104"/>
      <c r="J118" s="104"/>
      <c r="K118" s="104"/>
      <c r="L118" s="104"/>
      <c r="M118" s="104"/>
      <c r="N118" s="104"/>
      <c r="O118" s="104"/>
      <c r="P118" s="104"/>
      <c r="Q118" s="104"/>
      <c r="R118" s="104"/>
    </row>
    <row r="119" spans="1:43" x14ac:dyDescent="0.35">
      <c r="B119" s="27" t="s">
        <v>70</v>
      </c>
      <c r="F119" s="40"/>
      <c r="G119" s="41">
        <f>G31*G49/100</f>
        <v>3126.7159298270881</v>
      </c>
      <c r="H119" s="41"/>
      <c r="I119" s="104"/>
      <c r="J119" s="104"/>
      <c r="K119" s="104"/>
      <c r="L119" s="104"/>
      <c r="M119" s="104"/>
      <c r="N119" s="104"/>
      <c r="O119" s="104"/>
      <c r="P119" s="104"/>
      <c r="Q119" s="104"/>
      <c r="R119" s="104"/>
    </row>
    <row r="120" spans="1:43" x14ac:dyDescent="0.35">
      <c r="B120" s="27" t="s">
        <v>66</v>
      </c>
      <c r="F120" s="40"/>
      <c r="G120" s="41">
        <f xml:space="preserve"> (G31-G30)*G49/100</f>
        <v>701.22857317746821</v>
      </c>
      <c r="H120" s="41"/>
      <c r="I120" s="104"/>
      <c r="J120" s="104"/>
      <c r="K120" s="104"/>
      <c r="L120" s="104"/>
      <c r="M120" s="104"/>
      <c r="N120" s="104"/>
      <c r="O120" s="104"/>
      <c r="P120" s="104"/>
      <c r="Q120" s="104"/>
      <c r="R120" s="104"/>
    </row>
    <row r="121" spans="1:43" x14ac:dyDescent="0.35">
      <c r="B121" s="27" t="s">
        <v>67</v>
      </c>
      <c r="F121" s="40"/>
      <c r="G121" s="19">
        <f>G120/G118</f>
        <v>0.28910831930539965</v>
      </c>
      <c r="H121" s="19"/>
      <c r="I121" s="95"/>
      <c r="J121" s="95"/>
      <c r="K121" s="95"/>
      <c r="L121" s="95"/>
      <c r="M121" s="95"/>
      <c r="N121" s="95"/>
      <c r="O121" s="95"/>
      <c r="P121" s="95"/>
      <c r="Q121" s="95"/>
      <c r="R121" s="95"/>
    </row>
    <row r="123" spans="1:43" x14ac:dyDescent="0.35">
      <c r="A123" s="42" t="s">
        <v>176</v>
      </c>
      <c r="B123" s="27"/>
      <c r="E123" s="4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row>
    <row r="124" spans="1:43" x14ac:dyDescent="0.35">
      <c r="B124" s="27" t="s">
        <v>214</v>
      </c>
    </row>
    <row r="125" spans="1:43" x14ac:dyDescent="0.35">
      <c r="B125" s="27" t="s">
        <v>215</v>
      </c>
    </row>
    <row r="126" spans="1:43" x14ac:dyDescent="0.35">
      <c r="B126" s="27"/>
    </row>
    <row r="127" spans="1:43" x14ac:dyDescent="0.35">
      <c r="B127" s="162"/>
    </row>
  </sheetData>
  <mergeCells count="1">
    <mergeCell ref="J2:K3"/>
  </mergeCells>
  <dataValidations count="1">
    <dataValidation type="list" allowBlank="1" showInputMessage="1" showErrorMessage="1" sqref="G34" xr:uid="{6D172C7A-F626-483C-957A-6F4D27AC3AC8}">
      <formula1>"Equalized,Barnard,Bridgewater,Killington,Plymouth,Pomfret,Reading,Woodstock"</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48B54-E8CE-441C-81ED-8A70377B28A8}">
  <dimension ref="A1:L79"/>
  <sheetViews>
    <sheetView workbookViewId="0">
      <selection activeCell="C2" sqref="C2"/>
    </sheetView>
  </sheetViews>
  <sheetFormatPr defaultRowHeight="14.5" x14ac:dyDescent="0.35"/>
  <cols>
    <col min="2" max="2" width="26.453125" customWidth="1"/>
    <col min="3" max="4" width="18.1796875" customWidth="1"/>
    <col min="5" max="5" width="28" style="138" hidden="1" customWidth="1"/>
    <col min="6" max="6" width="0" hidden="1" customWidth="1"/>
    <col min="8" max="8" width="15.54296875" customWidth="1"/>
    <col min="10" max="10" width="15.36328125" customWidth="1"/>
    <col min="12" max="12" width="12.08984375" bestFit="1" customWidth="1"/>
  </cols>
  <sheetData>
    <row r="1" spans="1:12" ht="15" thickBot="1" x14ac:dyDescent="0.4">
      <c r="A1" s="78" t="s">
        <v>129</v>
      </c>
      <c r="C1" s="87" t="s">
        <v>204</v>
      </c>
      <c r="D1" s="171" t="s">
        <v>203</v>
      </c>
    </row>
    <row r="2" spans="1:12" x14ac:dyDescent="0.35">
      <c r="A2" s="90"/>
      <c r="B2" s="27" t="s">
        <v>160</v>
      </c>
      <c r="C2" s="137">
        <v>1520.47</v>
      </c>
      <c r="D2" s="137">
        <v>1520.47</v>
      </c>
      <c r="E2" s="138" t="s">
        <v>160</v>
      </c>
      <c r="F2" s="137">
        <v>115</v>
      </c>
      <c r="H2" s="175" t="s">
        <v>217</v>
      </c>
    </row>
    <row r="3" spans="1:12" x14ac:dyDescent="0.35">
      <c r="A3" s="90"/>
      <c r="B3" s="27" t="s">
        <v>238</v>
      </c>
      <c r="C3" s="227">
        <f>'Individual Taxpayer Impact'!$G$23*1.5</f>
        <v>0</v>
      </c>
      <c r="D3" s="93">
        <v>0</v>
      </c>
      <c r="E3" s="138" t="s">
        <v>161</v>
      </c>
      <c r="F3" s="93">
        <v>0</v>
      </c>
      <c r="H3" t="s">
        <v>251</v>
      </c>
    </row>
    <row r="4" spans="1:12" x14ac:dyDescent="0.35">
      <c r="B4" s="27" t="s">
        <v>239</v>
      </c>
      <c r="C4" s="227">
        <f>'Individual Taxpayer Impact'!$G$24*1.5</f>
        <v>0</v>
      </c>
      <c r="D4" s="93">
        <v>0</v>
      </c>
      <c r="E4" s="138" t="s">
        <v>162</v>
      </c>
      <c r="F4" s="93">
        <v>0</v>
      </c>
      <c r="H4" t="s">
        <v>252</v>
      </c>
    </row>
    <row r="6" spans="1:12" x14ac:dyDescent="0.35">
      <c r="B6" s="378" t="s">
        <v>130</v>
      </c>
      <c r="C6" s="378"/>
      <c r="D6" s="379"/>
      <c r="E6" s="145" t="s">
        <v>131</v>
      </c>
      <c r="H6" s="380" t="s">
        <v>220</v>
      </c>
      <c r="I6" s="381"/>
      <c r="J6" s="381"/>
      <c r="K6" s="382"/>
      <c r="L6" s="382"/>
    </row>
    <row r="7" spans="1:12" ht="15" thickBot="1" x14ac:dyDescent="0.4">
      <c r="A7" s="77" t="s">
        <v>3</v>
      </c>
      <c r="B7" s="78"/>
      <c r="E7" s="146" t="s">
        <v>132</v>
      </c>
      <c r="H7" s="27" t="s">
        <v>134</v>
      </c>
      <c r="J7" s="27" t="s">
        <v>202</v>
      </c>
      <c r="L7" s="27" t="s">
        <v>221</v>
      </c>
    </row>
    <row r="8" spans="1:12" x14ac:dyDescent="0.35">
      <c r="B8" s="74"/>
      <c r="C8" s="74"/>
      <c r="D8" s="74"/>
    </row>
    <row r="9" spans="1:12" x14ac:dyDescent="0.35">
      <c r="A9" s="89">
        <v>0</v>
      </c>
      <c r="B9" s="74"/>
      <c r="C9" s="160">
        <f>C2</f>
        <v>1520.47</v>
      </c>
      <c r="D9" s="160">
        <f>D2</f>
        <v>1520.47</v>
      </c>
      <c r="E9" s="138">
        <v>115</v>
      </c>
      <c r="L9" s="43">
        <v>100000</v>
      </c>
    </row>
    <row r="10" spans="1:12" x14ac:dyDescent="0.35">
      <c r="B10" s="74"/>
      <c r="C10" s="160"/>
      <c r="D10" s="160"/>
      <c r="L10" s="43"/>
    </row>
    <row r="11" spans="1:12" x14ac:dyDescent="0.35">
      <c r="A11" s="76">
        <v>2024</v>
      </c>
      <c r="B11" s="82"/>
      <c r="C11" s="160">
        <f>C2</f>
        <v>1520.47</v>
      </c>
      <c r="D11" s="160">
        <f>D2</f>
        <v>1520.47</v>
      </c>
      <c r="E11" s="138">
        <v>115</v>
      </c>
      <c r="L11" s="43">
        <f>(L9*EdSpend!E2) +L9</f>
        <v>103500</v>
      </c>
    </row>
    <row r="12" spans="1:12" x14ac:dyDescent="0.35">
      <c r="A12" s="76"/>
      <c r="B12" s="82"/>
      <c r="C12" s="160"/>
      <c r="D12" s="160"/>
      <c r="L12" s="43"/>
    </row>
    <row r="13" spans="1:12" x14ac:dyDescent="0.35">
      <c r="A13" s="76">
        <f>+A11+1</f>
        <v>2025</v>
      </c>
      <c r="B13" s="85"/>
      <c r="C13" s="160">
        <f>C2</f>
        <v>1520.47</v>
      </c>
      <c r="D13" s="160">
        <f>D2</f>
        <v>1520.47</v>
      </c>
      <c r="E13" s="138">
        <f>E11+2</f>
        <v>117</v>
      </c>
      <c r="H13" s="43">
        <v>0</v>
      </c>
      <c r="J13" s="43">
        <v>0</v>
      </c>
      <c r="L13" s="43">
        <v>0</v>
      </c>
    </row>
    <row r="14" spans="1:12" x14ac:dyDescent="0.35">
      <c r="A14" s="76"/>
      <c r="B14" s="85"/>
      <c r="C14" s="160"/>
      <c r="D14" s="160"/>
      <c r="L14" s="43"/>
    </row>
    <row r="15" spans="1:12" x14ac:dyDescent="0.35">
      <c r="A15" s="76">
        <f>+A13+1</f>
        <v>2026</v>
      </c>
      <c r="B15" s="85"/>
      <c r="C15" s="206">
        <f>C2</f>
        <v>1520.47</v>
      </c>
      <c r="D15" s="206">
        <f>D2</f>
        <v>1520.47</v>
      </c>
      <c r="E15" s="138">
        <f>E13+2</f>
        <v>119</v>
      </c>
      <c r="H15" s="43">
        <f xml:space="preserve"> (C15-C2)/15*L15</f>
        <v>0</v>
      </c>
      <c r="J15" s="43">
        <f xml:space="preserve"> (D15-D2)/15*L15</f>
        <v>0</v>
      </c>
      <c r="L15" s="43">
        <f>(L13*EdSpend!E2) +L13</f>
        <v>0</v>
      </c>
    </row>
    <row r="16" spans="1:12" x14ac:dyDescent="0.35">
      <c r="A16" s="76"/>
      <c r="B16" s="85"/>
      <c r="C16" s="160"/>
      <c r="D16" s="160"/>
      <c r="L16" s="43"/>
    </row>
    <row r="17" spans="1:12" x14ac:dyDescent="0.35">
      <c r="A17" s="76">
        <f>+A15+1</f>
        <v>2027</v>
      </c>
      <c r="B17" s="85"/>
      <c r="C17" s="206">
        <f>IF(C15+C3&lt;=2000,C15+C3,2000)</f>
        <v>1520.47</v>
      </c>
      <c r="D17" s="206">
        <f>IF(D15+D3&gt;=1300,D15+D3,1300)</f>
        <v>1520.47</v>
      </c>
      <c r="E17" s="138">
        <f>E15+2</f>
        <v>121</v>
      </c>
      <c r="H17" s="43">
        <f xml:space="preserve"> (C17-C2)/15*L17</f>
        <v>0</v>
      </c>
      <c r="J17" s="43">
        <f xml:space="preserve"> (D17-D2)/15*L17</f>
        <v>0</v>
      </c>
      <c r="L17" s="43">
        <f>(L15*EdSpend!E2) +L15</f>
        <v>0</v>
      </c>
    </row>
    <row r="18" spans="1:12" x14ac:dyDescent="0.35">
      <c r="A18" s="76"/>
      <c r="B18" s="85"/>
      <c r="C18" s="160"/>
      <c r="D18" s="160"/>
      <c r="L18" s="43"/>
    </row>
    <row r="19" spans="1:12" x14ac:dyDescent="0.35">
      <c r="A19" s="76">
        <f>+A17+1</f>
        <v>2028</v>
      </c>
      <c r="B19" s="85"/>
      <c r="C19" s="206">
        <f>IF(C17+C4&lt;=2000,C17+C4,2000)</f>
        <v>1520.47</v>
      </c>
      <c r="D19" s="160">
        <f>IF(D17+D4&gt;=1300,D17+D4,1300)</f>
        <v>1520.47</v>
      </c>
      <c r="E19" s="138">
        <f>E17+2</f>
        <v>123</v>
      </c>
      <c r="H19" s="43">
        <f xml:space="preserve"> (C19-C2)/15*L19</f>
        <v>0</v>
      </c>
      <c r="J19" s="43">
        <f xml:space="preserve"> (D19-D2)/15*L19</f>
        <v>0</v>
      </c>
      <c r="L19" s="43">
        <f>(L17*EdSpend!E2) +L17</f>
        <v>0</v>
      </c>
    </row>
    <row r="20" spans="1:12" x14ac:dyDescent="0.35">
      <c r="A20" s="76"/>
      <c r="B20" s="85"/>
      <c r="C20" s="160"/>
      <c r="D20" s="160"/>
      <c r="L20" s="43"/>
    </row>
    <row r="21" spans="1:12" x14ac:dyDescent="0.35">
      <c r="A21" s="76">
        <f>+A19+1</f>
        <v>2029</v>
      </c>
      <c r="B21" s="85"/>
      <c r="C21" s="206">
        <f>IF(C19+C4&lt;=2000,C19+C4,2000)</f>
        <v>1520.47</v>
      </c>
      <c r="D21" s="206">
        <f>IF(D19+D4&gt;=1300,D19+D4,1300)</f>
        <v>1520.47</v>
      </c>
      <c r="E21" s="138">
        <f>E19+2</f>
        <v>125</v>
      </c>
      <c r="H21" s="43">
        <f xml:space="preserve"> (C21-C2)/15*L21</f>
        <v>0</v>
      </c>
      <c r="J21" s="43">
        <f xml:space="preserve"> (D21-D2)/15*L21</f>
        <v>0</v>
      </c>
      <c r="L21" s="43">
        <f>(L19*EdSpend!E2) +L19</f>
        <v>0</v>
      </c>
    </row>
    <row r="22" spans="1:12" x14ac:dyDescent="0.35">
      <c r="A22" s="76"/>
      <c r="B22" s="85"/>
      <c r="C22" s="160"/>
      <c r="D22" s="160"/>
      <c r="H22" s="43"/>
      <c r="J22" s="43"/>
      <c r="L22" s="43"/>
    </row>
    <row r="23" spans="1:12" x14ac:dyDescent="0.35">
      <c r="A23" s="76">
        <f>+A21+1</f>
        <v>2030</v>
      </c>
      <c r="B23" s="85"/>
      <c r="C23" s="206">
        <f>IF(C21+C4&lt;=2000,C21+C4,2000)</f>
        <v>1520.47</v>
      </c>
      <c r="D23" s="206">
        <f>IF(D21+D4&gt;=1300,D21+D4,1300)</f>
        <v>1520.47</v>
      </c>
      <c r="E23" s="138">
        <f>E21+2</f>
        <v>127</v>
      </c>
      <c r="H23" s="43">
        <f xml:space="preserve"> (C23-C2)/15*L23</f>
        <v>0</v>
      </c>
      <c r="J23" s="43">
        <f xml:space="preserve"> (D23-D2)/15*L23</f>
        <v>0</v>
      </c>
      <c r="L23" s="43">
        <f>(L21*EdSpend!E2) +L21</f>
        <v>0</v>
      </c>
    </row>
    <row r="24" spans="1:12" x14ac:dyDescent="0.35">
      <c r="A24" s="76"/>
      <c r="B24" s="85"/>
      <c r="C24" s="160"/>
      <c r="D24" s="160"/>
      <c r="H24" s="43"/>
      <c r="J24" s="43"/>
      <c r="L24" s="43"/>
    </row>
    <row r="25" spans="1:12" x14ac:dyDescent="0.35">
      <c r="A25" s="76">
        <f>+A23+1</f>
        <v>2031</v>
      </c>
      <c r="B25" s="85"/>
      <c r="C25" s="206">
        <f>IF(C23+C4&lt;=2000,C23+C4,2000)</f>
        <v>1520.47</v>
      </c>
      <c r="D25" s="206">
        <f>IF(D23+D4&gt;=1300,D23+D4,1300)</f>
        <v>1520.47</v>
      </c>
      <c r="E25" s="138">
        <f>E23+2</f>
        <v>129</v>
      </c>
      <c r="H25" s="43">
        <f xml:space="preserve"> (C25-C2)/15*L25</f>
        <v>0</v>
      </c>
      <c r="J25" s="43">
        <f xml:space="preserve"> (D25-D2)/15*L25</f>
        <v>0</v>
      </c>
      <c r="L25" s="43">
        <f>(L23*EdSpend!E2) +L23</f>
        <v>0</v>
      </c>
    </row>
    <row r="26" spans="1:12" x14ac:dyDescent="0.35">
      <c r="A26" s="76"/>
      <c r="B26" s="85"/>
      <c r="C26" s="160"/>
      <c r="D26" s="160"/>
      <c r="H26" s="43"/>
      <c r="J26" s="43"/>
      <c r="L26" s="43"/>
    </row>
    <row r="27" spans="1:12" x14ac:dyDescent="0.35">
      <c r="A27" s="76">
        <f>+A25+1</f>
        <v>2032</v>
      </c>
      <c r="B27" s="85"/>
      <c r="C27" s="206">
        <f>IF(C25+C4&lt;=2000,C25+C4,2000)</f>
        <v>1520.47</v>
      </c>
      <c r="D27" s="206">
        <f>IF(D25+D4&gt;=1300,D25+D4,1300)</f>
        <v>1520.47</v>
      </c>
      <c r="E27" s="138">
        <f>E25+2</f>
        <v>131</v>
      </c>
      <c r="H27" s="43">
        <f xml:space="preserve"> (C27-C2)/15*L27</f>
        <v>0</v>
      </c>
      <c r="J27" s="43">
        <f xml:space="preserve"> (D27-D2)/15*L27</f>
        <v>0</v>
      </c>
      <c r="L27" s="43">
        <f>(L25*EdSpend!E2) +L25</f>
        <v>0</v>
      </c>
    </row>
    <row r="28" spans="1:12" x14ac:dyDescent="0.35">
      <c r="A28" s="76"/>
      <c r="B28" s="85"/>
      <c r="C28" s="160"/>
      <c r="D28" s="160"/>
      <c r="H28" s="43"/>
      <c r="J28" s="43"/>
      <c r="L28" s="43"/>
    </row>
    <row r="29" spans="1:12" x14ac:dyDescent="0.35">
      <c r="A29" s="76">
        <f>+A27+1</f>
        <v>2033</v>
      </c>
      <c r="B29" s="85"/>
      <c r="C29" s="206">
        <f>IF(C27+C4&lt;=2000,C27+C4,2000)</f>
        <v>1520.47</v>
      </c>
      <c r="D29" s="206">
        <f>IF(D27+D4&gt;=1300,D27+D4,1300)</f>
        <v>1520.47</v>
      </c>
      <c r="E29" s="138">
        <f>E27+2</f>
        <v>133</v>
      </c>
      <c r="H29" s="43">
        <f xml:space="preserve"> (C29-C2)/15*L29</f>
        <v>0</v>
      </c>
      <c r="J29" s="43">
        <f xml:space="preserve"> (D29-D2)/15*L29</f>
        <v>0</v>
      </c>
      <c r="L29" s="43">
        <f>(L27*EdSpend!E2) +L27</f>
        <v>0</v>
      </c>
    </row>
    <row r="30" spans="1:12" x14ac:dyDescent="0.35">
      <c r="A30" s="76"/>
      <c r="B30" s="85"/>
      <c r="C30" s="160"/>
      <c r="D30" s="160"/>
      <c r="H30" s="43"/>
      <c r="J30" s="43"/>
      <c r="L30" s="43"/>
    </row>
    <row r="31" spans="1:12" x14ac:dyDescent="0.35">
      <c r="A31" s="76">
        <f>+A29+1</f>
        <v>2034</v>
      </c>
      <c r="B31" s="85"/>
      <c r="C31" s="206">
        <f>IF(C29+C4&lt;=2000,C29+C4,2000)</f>
        <v>1520.47</v>
      </c>
      <c r="D31" s="206">
        <f>IF(D29+D4&gt;=1300,D29+D4,1300)</f>
        <v>1520.47</v>
      </c>
      <c r="E31" s="138">
        <f>E29+2</f>
        <v>135</v>
      </c>
      <c r="H31" s="43">
        <f xml:space="preserve"> (C31-C2)/15*L31</f>
        <v>0</v>
      </c>
      <c r="J31" s="43">
        <f xml:space="preserve"> (D31-D2)/15*L31</f>
        <v>0</v>
      </c>
      <c r="L31" s="43">
        <f>(L29*EdSpend!E2) +L29</f>
        <v>0</v>
      </c>
    </row>
    <row r="32" spans="1:12" x14ac:dyDescent="0.35">
      <c r="A32" s="76"/>
      <c r="B32" s="85"/>
      <c r="C32" s="160"/>
      <c r="D32" s="160"/>
      <c r="H32" s="43"/>
      <c r="J32" s="43"/>
      <c r="L32" s="43"/>
    </row>
    <row r="33" spans="1:12" x14ac:dyDescent="0.35">
      <c r="A33" s="76">
        <f>+A31+1</f>
        <v>2035</v>
      </c>
      <c r="B33" s="85"/>
      <c r="C33" s="206">
        <f>IF(C31+C4&lt;=2000,C31+C4,2000)</f>
        <v>1520.47</v>
      </c>
      <c r="D33" s="206">
        <f>IF(D31+D4&gt;=1300,D31+D4,1300)</f>
        <v>1520.47</v>
      </c>
      <c r="E33" s="138">
        <f>E31+2</f>
        <v>137</v>
      </c>
      <c r="H33" s="43">
        <f xml:space="preserve"> (C33-C2)/15*L33</f>
        <v>0</v>
      </c>
      <c r="J33" s="43">
        <f xml:space="preserve"> (D33-D2)/15*L33</f>
        <v>0</v>
      </c>
      <c r="L33" s="43">
        <f>(L31*EdSpend!E2) +L31</f>
        <v>0</v>
      </c>
    </row>
    <row r="34" spans="1:12" x14ac:dyDescent="0.35">
      <c r="A34" s="76"/>
      <c r="B34" s="85"/>
      <c r="C34" s="160"/>
      <c r="D34" s="160"/>
      <c r="H34" s="43"/>
      <c r="J34" s="43"/>
      <c r="L34" s="43"/>
    </row>
    <row r="35" spans="1:12" x14ac:dyDescent="0.35">
      <c r="A35" s="76">
        <f>+A33+1</f>
        <v>2036</v>
      </c>
      <c r="B35" s="85"/>
      <c r="C35" s="206">
        <f>IF(C33+C4&lt;=2000,C33+C4,2000)</f>
        <v>1520.47</v>
      </c>
      <c r="D35" s="206">
        <f>IF(D33+D4&gt;=1300,D33+D4,1300)</f>
        <v>1520.47</v>
      </c>
      <c r="E35" s="138">
        <f>E33+2</f>
        <v>139</v>
      </c>
      <c r="H35" s="43">
        <f xml:space="preserve"> (C35-C2)/15*L35</f>
        <v>0</v>
      </c>
      <c r="J35" s="43">
        <f xml:space="preserve"> (D35-D2)/15*L35</f>
        <v>0</v>
      </c>
      <c r="L35" s="43">
        <f>(L33*EdSpend!E2) +L33</f>
        <v>0</v>
      </c>
    </row>
    <row r="36" spans="1:12" x14ac:dyDescent="0.35">
      <c r="A36" s="76"/>
      <c r="B36" s="85"/>
      <c r="C36" s="160"/>
      <c r="D36" s="160"/>
      <c r="H36" s="43"/>
      <c r="J36" s="43"/>
      <c r="L36" s="43"/>
    </row>
    <row r="37" spans="1:12" x14ac:dyDescent="0.35">
      <c r="A37" s="76">
        <f>+A35+1</f>
        <v>2037</v>
      </c>
      <c r="B37" s="85"/>
      <c r="C37" s="206">
        <f>IF(C35+C4&lt;=2000,C35+C4,2000)</f>
        <v>1520.47</v>
      </c>
      <c r="D37" s="206">
        <f>IF(D35+D4&gt;=1300,D35+D4,1300)</f>
        <v>1520.47</v>
      </c>
      <c r="E37" s="138">
        <f>E35+2</f>
        <v>141</v>
      </c>
      <c r="H37" s="43">
        <f xml:space="preserve"> (C37-C2)/15*L37</f>
        <v>0</v>
      </c>
      <c r="J37" s="43">
        <f xml:space="preserve"> (D37-D2)/15*L37</f>
        <v>0</v>
      </c>
      <c r="L37" s="43">
        <f>(L35*EdSpend!E2) +L35</f>
        <v>0</v>
      </c>
    </row>
    <row r="38" spans="1:12" x14ac:dyDescent="0.35">
      <c r="A38" s="76"/>
      <c r="B38" s="85"/>
      <c r="C38" s="160"/>
      <c r="D38" s="160"/>
      <c r="H38" s="43"/>
      <c r="J38" s="43"/>
      <c r="L38" s="43"/>
    </row>
    <row r="39" spans="1:12" x14ac:dyDescent="0.35">
      <c r="A39" s="76">
        <f>+A37+1</f>
        <v>2038</v>
      </c>
      <c r="B39" s="85"/>
      <c r="C39" s="206">
        <f>IF(C37+C4&lt;=2000,C37+C4,2000)</f>
        <v>1520.47</v>
      </c>
      <c r="D39" s="206">
        <f>IF(D37+D4&gt;=1300,D37+D4,1300)</f>
        <v>1520.47</v>
      </c>
      <c r="E39" s="138">
        <f>E37+2</f>
        <v>143</v>
      </c>
      <c r="H39" s="43">
        <f xml:space="preserve"> (C39-C2)/15*L39</f>
        <v>0</v>
      </c>
      <c r="J39" s="43">
        <f xml:space="preserve"> (D39-D2)/15*L39</f>
        <v>0</v>
      </c>
      <c r="L39" s="43">
        <f>(L37*EdSpend!E2) +L37</f>
        <v>0</v>
      </c>
    </row>
    <row r="40" spans="1:12" x14ac:dyDescent="0.35">
      <c r="A40" s="76"/>
      <c r="B40" s="85"/>
      <c r="C40" s="160"/>
      <c r="D40" s="160"/>
      <c r="H40" s="43"/>
      <c r="J40" s="43"/>
      <c r="L40" s="43"/>
    </row>
    <row r="41" spans="1:12" x14ac:dyDescent="0.35">
      <c r="A41" s="76">
        <f>+A39+1</f>
        <v>2039</v>
      </c>
      <c r="B41" s="85"/>
      <c r="C41" s="206">
        <f>IF(C39+C4&lt;=2000,C39+C4,2000)</f>
        <v>1520.47</v>
      </c>
      <c r="D41" s="206">
        <f>IF(D39+D4&gt;=1300,D39+D4,1300)</f>
        <v>1520.47</v>
      </c>
      <c r="E41" s="138">
        <f>E39+2</f>
        <v>145</v>
      </c>
      <c r="H41" s="43">
        <f xml:space="preserve"> (C41-C2)/15*L41</f>
        <v>0</v>
      </c>
      <c r="J41" s="43">
        <f xml:space="preserve"> (D41-D2)/15*L41</f>
        <v>0</v>
      </c>
      <c r="L41" s="43">
        <f>(L39*EdSpend!E2) +L39</f>
        <v>0</v>
      </c>
    </row>
    <row r="42" spans="1:12" x14ac:dyDescent="0.35">
      <c r="A42" s="76"/>
      <c r="B42" s="85"/>
      <c r="C42" s="160"/>
      <c r="D42" s="160"/>
      <c r="H42" s="43"/>
      <c r="J42" s="43"/>
      <c r="L42" s="43"/>
    </row>
    <row r="43" spans="1:12" x14ac:dyDescent="0.35">
      <c r="A43" s="76">
        <f>+A41+1</f>
        <v>2040</v>
      </c>
      <c r="B43" s="85"/>
      <c r="C43" s="206">
        <f>IF(C41+C4&lt;=2000,C41+C4,2000)</f>
        <v>1520.47</v>
      </c>
      <c r="D43" s="206">
        <f>IF(D41+D4&gt;=1300,D41+D4,1300)</f>
        <v>1520.47</v>
      </c>
      <c r="E43" s="138">
        <f>E41+2</f>
        <v>147</v>
      </c>
      <c r="H43" s="43">
        <f xml:space="preserve"> (C43-C2)/15*L43</f>
        <v>0</v>
      </c>
      <c r="J43" s="43">
        <f xml:space="preserve"> (D43-D2)/15*L43</f>
        <v>0</v>
      </c>
      <c r="L43" s="43">
        <f>(L41*EdSpend!E2) +L41</f>
        <v>0</v>
      </c>
    </row>
    <row r="44" spans="1:12" x14ac:dyDescent="0.35">
      <c r="A44" s="76"/>
      <c r="B44" s="85"/>
      <c r="C44" s="160"/>
      <c r="D44" s="160"/>
      <c r="H44" s="43"/>
      <c r="J44" s="43"/>
      <c r="L44" s="43"/>
    </row>
    <row r="45" spans="1:12" x14ac:dyDescent="0.35">
      <c r="A45" s="76">
        <f>+A43+1</f>
        <v>2041</v>
      </c>
      <c r="B45" s="85"/>
      <c r="C45" s="206">
        <f>IF(C43+C4&lt;=2000,C43+C4,2000)</f>
        <v>1520.47</v>
      </c>
      <c r="D45" s="206">
        <f>IF(D43+D4&gt;=1300,D43+D4,1300)</f>
        <v>1520.47</v>
      </c>
      <c r="E45" s="138">
        <f>E43+2</f>
        <v>149</v>
      </c>
      <c r="H45" s="43">
        <f xml:space="preserve"> (C45-C2)/15*L45</f>
        <v>0</v>
      </c>
      <c r="J45" s="43">
        <f xml:space="preserve"> (D45-D2)/15*L45</f>
        <v>0</v>
      </c>
      <c r="L45" s="43">
        <f>(L43*EdSpend!E2) +L43</f>
        <v>0</v>
      </c>
    </row>
    <row r="46" spans="1:12" x14ac:dyDescent="0.35">
      <c r="A46" s="76"/>
      <c r="B46" s="85"/>
      <c r="C46" s="160"/>
      <c r="D46" s="160"/>
      <c r="H46" s="43"/>
      <c r="J46" s="43"/>
      <c r="L46" s="43"/>
    </row>
    <row r="47" spans="1:12" x14ac:dyDescent="0.35">
      <c r="A47" s="76">
        <f>+A45+1</f>
        <v>2042</v>
      </c>
      <c r="B47" s="85"/>
      <c r="C47" s="206">
        <f>IF(C45+C4&lt;=2000,C45+C4,2000)</f>
        <v>1520.47</v>
      </c>
      <c r="D47" s="206">
        <f>IF(D45+D4&gt;=1300,D45+D4,1300)</f>
        <v>1520.47</v>
      </c>
      <c r="E47" s="138">
        <f>E45+2</f>
        <v>151</v>
      </c>
      <c r="H47" s="43">
        <f xml:space="preserve"> (C47-C2)/15*L47</f>
        <v>0</v>
      </c>
      <c r="J47" s="43">
        <f xml:space="preserve"> (D47-D2)/15*L47</f>
        <v>0</v>
      </c>
      <c r="L47" s="43">
        <f>(L45*EdSpend!E2) +L45</f>
        <v>0</v>
      </c>
    </row>
    <row r="48" spans="1:12" x14ac:dyDescent="0.35">
      <c r="A48" s="76"/>
      <c r="B48" s="85"/>
      <c r="C48" s="160"/>
      <c r="D48" s="160"/>
      <c r="H48" s="43"/>
      <c r="J48" s="43"/>
      <c r="L48" s="43"/>
    </row>
    <row r="49" spans="1:12" x14ac:dyDescent="0.35">
      <c r="A49" s="76">
        <f>+A47+1</f>
        <v>2043</v>
      </c>
      <c r="B49" s="85"/>
      <c r="C49" s="206">
        <f>IF(C47+C4&lt;=2000,C47+C4,2000)</f>
        <v>1520.47</v>
      </c>
      <c r="D49" s="206">
        <f>IF(D47+D4&gt;=1300,D47+D4,1300)</f>
        <v>1520.47</v>
      </c>
      <c r="E49" s="138">
        <f>E47+2</f>
        <v>153</v>
      </c>
      <c r="H49" s="43">
        <f xml:space="preserve"> (C49-C2)/15*L49</f>
        <v>0</v>
      </c>
      <c r="J49" s="43">
        <f xml:space="preserve"> (D49-D2)/15*L49</f>
        <v>0</v>
      </c>
      <c r="L49" s="43">
        <f>(L47*EdSpend!E2) +L47</f>
        <v>0</v>
      </c>
    </row>
    <row r="50" spans="1:12" x14ac:dyDescent="0.35">
      <c r="A50" s="76"/>
      <c r="B50" s="85"/>
      <c r="C50" s="160"/>
      <c r="D50" s="160"/>
      <c r="H50" s="43"/>
      <c r="J50" s="43"/>
      <c r="L50" s="43"/>
    </row>
    <row r="51" spans="1:12" x14ac:dyDescent="0.35">
      <c r="A51" s="76">
        <f>+A49+1</f>
        <v>2044</v>
      </c>
      <c r="B51" s="85"/>
      <c r="C51" s="206">
        <f>IF(C49+C4&lt;=2000,C49+C4,2000)</f>
        <v>1520.47</v>
      </c>
      <c r="D51" s="206">
        <f>IF(D49+D4&gt;=1300,D49+D4,1300)</f>
        <v>1520.47</v>
      </c>
      <c r="E51" s="138">
        <f>E49+2</f>
        <v>155</v>
      </c>
      <c r="H51" s="43">
        <f xml:space="preserve"> (C51-C2)/15*L51</f>
        <v>0</v>
      </c>
      <c r="J51" s="43">
        <f xml:space="preserve"> (D51-D2)/15*L51</f>
        <v>0</v>
      </c>
      <c r="L51" s="43">
        <f>(L49*EdSpend!E2) +L49</f>
        <v>0</v>
      </c>
    </row>
    <row r="52" spans="1:12" x14ac:dyDescent="0.35">
      <c r="A52" s="76"/>
      <c r="B52" s="85"/>
      <c r="C52" s="160"/>
      <c r="D52" s="160"/>
      <c r="H52" s="43"/>
      <c r="J52" s="43"/>
      <c r="L52" s="43"/>
    </row>
    <row r="53" spans="1:12" x14ac:dyDescent="0.35">
      <c r="A53" s="76">
        <f>+A51+1</f>
        <v>2045</v>
      </c>
      <c r="B53" s="85"/>
      <c r="C53" s="206">
        <f>IF(C51+C4&lt;=2000,C51+C4,2000)</f>
        <v>1520.47</v>
      </c>
      <c r="D53" s="206">
        <f>IF(D51+D4&gt;=1300,D51+D4,1300)</f>
        <v>1520.47</v>
      </c>
      <c r="E53" s="138">
        <f>E51+2</f>
        <v>157</v>
      </c>
      <c r="H53" s="43">
        <f xml:space="preserve"> (C53-C2)/15*L53</f>
        <v>0</v>
      </c>
      <c r="J53" s="43">
        <f xml:space="preserve"> (D53-D2)/15*L53</f>
        <v>0</v>
      </c>
      <c r="L53" s="43">
        <f>(L51*EdSpend!E2) +L51</f>
        <v>0</v>
      </c>
    </row>
    <row r="54" spans="1:12" x14ac:dyDescent="0.35">
      <c r="A54" s="76"/>
      <c r="B54" s="85"/>
      <c r="C54" s="160"/>
      <c r="D54" s="160"/>
      <c r="H54" s="43"/>
      <c r="J54" s="43"/>
      <c r="L54" s="43"/>
    </row>
    <row r="55" spans="1:12" x14ac:dyDescent="0.35">
      <c r="A55" s="76">
        <f>+A53+1</f>
        <v>2046</v>
      </c>
      <c r="B55" s="85"/>
      <c r="C55" s="206">
        <f>IF(C53+C4&lt;=2000,C53+C4,2000)</f>
        <v>1520.47</v>
      </c>
      <c r="D55" s="206">
        <f>IF(D53+D4&gt;=1300,D53+D4,1300)</f>
        <v>1520.47</v>
      </c>
      <c r="E55" s="138">
        <f>E53+2</f>
        <v>159</v>
      </c>
      <c r="H55" s="43">
        <f xml:space="preserve"> (C55-C2)/15*L55</f>
        <v>0</v>
      </c>
      <c r="J55" s="43">
        <f xml:space="preserve"> (D55-D2)/15*L55</f>
        <v>0</v>
      </c>
      <c r="L55" s="43">
        <f>(L53*EdSpend!E2) +L53</f>
        <v>0</v>
      </c>
    </row>
    <row r="56" spans="1:12" x14ac:dyDescent="0.35">
      <c r="A56" s="76"/>
      <c r="B56" s="85"/>
      <c r="C56" s="160"/>
      <c r="D56" s="160"/>
      <c r="H56" s="43"/>
      <c r="J56" s="43"/>
      <c r="L56" s="43"/>
    </row>
    <row r="57" spans="1:12" x14ac:dyDescent="0.35">
      <c r="A57" s="76">
        <f>+A55+1</f>
        <v>2047</v>
      </c>
      <c r="B57" s="85"/>
      <c r="C57" s="206">
        <f>IF(C55+C4&lt;=2000,C55+C4,2000)</f>
        <v>1520.47</v>
      </c>
      <c r="D57" s="206">
        <f>IF(D55+D4&gt;=1300,D55+D4,1300)</f>
        <v>1520.47</v>
      </c>
      <c r="E57" s="138">
        <f>E55+2</f>
        <v>161</v>
      </c>
      <c r="H57" s="43">
        <f xml:space="preserve"> (C57-C2)/15*L57</f>
        <v>0</v>
      </c>
      <c r="J57" s="43">
        <f xml:space="preserve"> (D57-D2)/15*L57</f>
        <v>0</v>
      </c>
      <c r="L57" s="43">
        <f>(L55*EdSpend!E2) +L55</f>
        <v>0</v>
      </c>
    </row>
    <row r="58" spans="1:12" x14ac:dyDescent="0.35">
      <c r="A58" s="76"/>
      <c r="B58" s="85"/>
      <c r="C58" s="160"/>
      <c r="D58" s="160"/>
      <c r="H58" s="43"/>
      <c r="J58" s="43"/>
      <c r="L58" s="43"/>
    </row>
    <row r="59" spans="1:12" x14ac:dyDescent="0.35">
      <c r="A59" s="76">
        <f>+A57+1</f>
        <v>2048</v>
      </c>
      <c r="B59" s="85"/>
      <c r="C59" s="206">
        <f>IF(C57+C4&lt;=2000,C57+C4,2000)</f>
        <v>1520.47</v>
      </c>
      <c r="D59" s="206">
        <f>IF(D57+D4&gt;=1300,D57+D4,1300)</f>
        <v>1520.47</v>
      </c>
      <c r="E59" s="138">
        <f>E57+2</f>
        <v>163</v>
      </c>
      <c r="H59" s="43">
        <f xml:space="preserve"> (C59-C2)/15*L59</f>
        <v>0</v>
      </c>
      <c r="J59" s="43">
        <f xml:space="preserve"> (D59-D2)/15*L59</f>
        <v>0</v>
      </c>
      <c r="L59" s="43">
        <f>(L57*EdSpend!E2) +L57</f>
        <v>0</v>
      </c>
    </row>
    <row r="60" spans="1:12" x14ac:dyDescent="0.35">
      <c r="A60" s="76"/>
      <c r="B60" s="85"/>
      <c r="C60" s="160"/>
      <c r="D60" s="160"/>
      <c r="H60" s="43"/>
      <c r="J60" s="43"/>
      <c r="L60" s="43"/>
    </row>
    <row r="61" spans="1:12" x14ac:dyDescent="0.35">
      <c r="A61" s="76">
        <f>+A59+1</f>
        <v>2049</v>
      </c>
      <c r="B61" s="85"/>
      <c r="C61" s="206">
        <f>IF(C59+C4&lt;=2000,C59+C4,2000)</f>
        <v>1520.47</v>
      </c>
      <c r="D61" s="206">
        <f>IF(D59+D4&gt;=1300,D59+D4,1300)</f>
        <v>1520.47</v>
      </c>
      <c r="E61" s="138">
        <f>E59+2</f>
        <v>165</v>
      </c>
      <c r="H61" s="43">
        <f xml:space="preserve"> (C61-C2)/15*L61</f>
        <v>0</v>
      </c>
      <c r="J61" s="43">
        <f xml:space="preserve"> (D61-D2)/15*L61</f>
        <v>0</v>
      </c>
      <c r="L61" s="43">
        <f>(L59*EdSpend!E2) +L59</f>
        <v>0</v>
      </c>
    </row>
    <row r="62" spans="1:12" x14ac:dyDescent="0.35">
      <c r="A62" s="76"/>
      <c r="B62" s="85"/>
      <c r="C62" s="160"/>
      <c r="D62" s="160"/>
      <c r="H62" s="43"/>
      <c r="J62" s="43"/>
      <c r="L62" s="43"/>
    </row>
    <row r="63" spans="1:12" x14ac:dyDescent="0.35">
      <c r="A63" s="76">
        <f>+A61+1</f>
        <v>2050</v>
      </c>
      <c r="B63" s="85"/>
      <c r="C63" s="206">
        <f>IF(C61+C4&lt;=2000,C61+C4,2000)</f>
        <v>1520.47</v>
      </c>
      <c r="D63" s="206">
        <f>IF(D61+D4&gt;=1300,D61+D4,1300)</f>
        <v>1520.47</v>
      </c>
      <c r="E63" s="138">
        <f>E61+2</f>
        <v>167</v>
      </c>
      <c r="H63" s="43">
        <f xml:space="preserve"> (C63-C2)/15*L63</f>
        <v>0</v>
      </c>
      <c r="J63" s="43">
        <f xml:space="preserve"> (D63-D2)/15*L63</f>
        <v>0</v>
      </c>
      <c r="L63" s="43">
        <f>(L61*EdSpend!E2) +L61</f>
        <v>0</v>
      </c>
    </row>
    <row r="64" spans="1:12" x14ac:dyDescent="0.35">
      <c r="A64" s="76"/>
      <c r="B64" s="85"/>
      <c r="C64" s="160"/>
      <c r="D64" s="160"/>
      <c r="H64" s="43"/>
      <c r="J64" s="43"/>
      <c r="L64" s="43"/>
    </row>
    <row r="65" spans="1:12" x14ac:dyDescent="0.35">
      <c r="A65" s="76">
        <f>+A63+1</f>
        <v>2051</v>
      </c>
      <c r="B65" s="85"/>
      <c r="C65" s="206">
        <f>IF(C63+C4&lt;=2000,C63+C4,2000)</f>
        <v>1520.47</v>
      </c>
      <c r="D65" s="206">
        <f>IF(D63+D4&gt;=1300,D63+D4,1300)</f>
        <v>1520.47</v>
      </c>
      <c r="E65" s="138">
        <f>E63+2</f>
        <v>169</v>
      </c>
      <c r="H65" s="43">
        <f xml:space="preserve"> (C65-C2)/15*L65</f>
        <v>0</v>
      </c>
      <c r="J65" s="43">
        <f xml:space="preserve"> (D65-D2)/15*L65</f>
        <v>0</v>
      </c>
      <c r="L65" s="43">
        <f>(L63*EdSpend!E2) +L63</f>
        <v>0</v>
      </c>
    </row>
    <row r="66" spans="1:12" x14ac:dyDescent="0.35">
      <c r="A66" s="76"/>
      <c r="B66" s="85"/>
      <c r="C66" s="160"/>
      <c r="D66" s="160"/>
      <c r="H66" s="43"/>
      <c r="J66" s="43"/>
      <c r="L66" s="43"/>
    </row>
    <row r="67" spans="1:12" x14ac:dyDescent="0.35">
      <c r="A67" s="76">
        <f>+A65+1</f>
        <v>2052</v>
      </c>
      <c r="B67" s="85"/>
      <c r="C67" s="206">
        <f>IF(C65+C4&lt;=2000,C65+C4,2000)</f>
        <v>1520.47</v>
      </c>
      <c r="D67" s="206">
        <f>IF(D65+D4&gt;=1300,D65+D4,1300)</f>
        <v>1520.47</v>
      </c>
      <c r="E67" s="138">
        <f>E65+2</f>
        <v>171</v>
      </c>
      <c r="H67" s="43">
        <f xml:space="preserve"> (C67-C2)/15*L67</f>
        <v>0</v>
      </c>
      <c r="J67" s="43">
        <f xml:space="preserve"> (D67-D2)/15*L67</f>
        <v>0</v>
      </c>
      <c r="L67" s="43">
        <f>(L65*EdSpend!E2) +L65</f>
        <v>0</v>
      </c>
    </row>
    <row r="68" spans="1:12" x14ac:dyDescent="0.35">
      <c r="A68" s="76"/>
      <c r="B68" s="85"/>
      <c r="C68" s="160"/>
      <c r="D68" s="160"/>
      <c r="H68" s="43"/>
      <c r="J68" s="43"/>
      <c r="L68" s="43"/>
    </row>
    <row r="69" spans="1:12" x14ac:dyDescent="0.35">
      <c r="A69" s="76">
        <f>+A67+1</f>
        <v>2053</v>
      </c>
      <c r="B69" s="85"/>
      <c r="C69" s="206">
        <f>IF(C67+C4&lt;=2000,C67+C4,2000)</f>
        <v>1520.47</v>
      </c>
      <c r="D69" s="206">
        <f>IF(D67+D4&gt;=1300,D67+D4,1300)</f>
        <v>1520.47</v>
      </c>
      <c r="E69" s="138">
        <f>E67+2</f>
        <v>173</v>
      </c>
      <c r="H69" s="43">
        <f xml:space="preserve"> (C69-C2)/15*L69</f>
        <v>0</v>
      </c>
      <c r="J69" s="43">
        <f xml:space="preserve"> (D69-D2)/15*L69</f>
        <v>0</v>
      </c>
      <c r="L69" s="43">
        <f>(L67*EdSpend!E2) +L67</f>
        <v>0</v>
      </c>
    </row>
    <row r="70" spans="1:12" x14ac:dyDescent="0.35">
      <c r="H70" s="43"/>
      <c r="J70" s="43"/>
      <c r="L70" s="43"/>
    </row>
    <row r="71" spans="1:12" x14ac:dyDescent="0.35">
      <c r="A71" s="170">
        <f>+A69+1</f>
        <v>2054</v>
      </c>
      <c r="B71" s="85"/>
      <c r="C71" s="206">
        <f>IF(C69+C4&lt;=2000,C69+C4,2000)</f>
        <v>1520.47</v>
      </c>
      <c r="D71" s="206">
        <f>IF(D69+D4&gt;=1300,D69+D4,1300)</f>
        <v>1520.47</v>
      </c>
      <c r="E71" s="138">
        <f>E69+2</f>
        <v>175</v>
      </c>
      <c r="H71" s="43">
        <f xml:space="preserve"> (C71-C2)/15*L71</f>
        <v>0</v>
      </c>
      <c r="J71" s="43">
        <f xml:space="preserve"> (D71-D2)/15*L71</f>
        <v>0</v>
      </c>
      <c r="L71" s="43">
        <f>(L69*EdSpend!E2) +L69</f>
        <v>0</v>
      </c>
    </row>
    <row r="72" spans="1:12" x14ac:dyDescent="0.35">
      <c r="H72" s="43"/>
      <c r="J72" s="43"/>
      <c r="L72" s="43"/>
    </row>
    <row r="73" spans="1:12" x14ac:dyDescent="0.35">
      <c r="A73" s="170">
        <f>+A71+1</f>
        <v>2055</v>
      </c>
      <c r="B73" s="85"/>
      <c r="C73" s="206">
        <f>IF(C71+C4&lt;=2000,C71+C4,2000)</f>
        <v>1520.47</v>
      </c>
      <c r="D73" s="206">
        <f>IF(D71+D4&gt;=1300,D71+D4,1300)</f>
        <v>1520.47</v>
      </c>
      <c r="E73" s="138">
        <f>E71+2</f>
        <v>177</v>
      </c>
      <c r="H73" s="43">
        <f xml:space="preserve"> (C73-C2)/15*L73</f>
        <v>0</v>
      </c>
      <c r="J73" s="43">
        <f xml:space="preserve"> (D73-D2)/15*L73</f>
        <v>0</v>
      </c>
      <c r="L73" s="43">
        <f>(L71*EdSpend!E2) +L71</f>
        <v>0</v>
      </c>
    </row>
    <row r="74" spans="1:12" x14ac:dyDescent="0.35">
      <c r="H74" s="43"/>
      <c r="J74" s="43"/>
      <c r="L74" s="43"/>
    </row>
    <row r="75" spans="1:12" x14ac:dyDescent="0.35">
      <c r="A75" s="170">
        <f>+A73+1</f>
        <v>2056</v>
      </c>
      <c r="B75" s="85"/>
      <c r="C75" s="206">
        <f>IF(C73+C4&lt;=2000,C73+C4,2000)</f>
        <v>1520.47</v>
      </c>
      <c r="D75" s="206">
        <f>IF(D73+D4&gt;=1300,D73+D4,1300)</f>
        <v>1520.47</v>
      </c>
      <c r="E75" s="138">
        <f>E73+2</f>
        <v>179</v>
      </c>
      <c r="H75" s="43">
        <f xml:space="preserve"> (C75-C2)/15*L75</f>
        <v>0</v>
      </c>
      <c r="J75" s="43">
        <f xml:space="preserve"> (D75-D2)/15*L75</f>
        <v>0</v>
      </c>
      <c r="L75" s="43">
        <f>(L73*EdSpend!E2) +L73</f>
        <v>0</v>
      </c>
    </row>
    <row r="76" spans="1:12" x14ac:dyDescent="0.35">
      <c r="H76" s="43"/>
      <c r="J76" s="43"/>
      <c r="L76" s="43"/>
    </row>
    <row r="77" spans="1:12" x14ac:dyDescent="0.35">
      <c r="A77" s="170">
        <f>+A75+1</f>
        <v>2057</v>
      </c>
      <c r="B77" s="85"/>
      <c r="C77" s="206">
        <f>IF(C75+C4&lt;=2000,C75+C4,2000)</f>
        <v>1520.47</v>
      </c>
      <c r="D77" s="206">
        <f>IF(D75+D4&gt;=1300,D75+D4,1300)</f>
        <v>1520.47</v>
      </c>
      <c r="E77" s="138">
        <f>E75+2</f>
        <v>181</v>
      </c>
      <c r="H77" s="43">
        <f xml:space="preserve"> (C77-C2)/15*L77</f>
        <v>0</v>
      </c>
      <c r="J77" s="43">
        <f xml:space="preserve"> (D77-D2)/15*L77</f>
        <v>0</v>
      </c>
      <c r="L77" s="43">
        <f>(L75*EdSpend!E2) +L75</f>
        <v>0</v>
      </c>
    </row>
    <row r="78" spans="1:12" x14ac:dyDescent="0.35">
      <c r="H78" s="43"/>
      <c r="J78" s="43"/>
      <c r="L78" s="43"/>
    </row>
    <row r="79" spans="1:12" x14ac:dyDescent="0.35">
      <c r="A79" s="170">
        <f>+A77+1</f>
        <v>2058</v>
      </c>
      <c r="B79" s="85"/>
      <c r="C79" s="206">
        <f>IF(C77+C4&lt;=2000,C77+C4,2000)</f>
        <v>1520.47</v>
      </c>
      <c r="D79" s="206">
        <f>IF(D77+D4&gt;=1300,D77+D4,1300)</f>
        <v>1520.47</v>
      </c>
      <c r="E79" s="138">
        <f>E77+2</f>
        <v>183</v>
      </c>
      <c r="H79" s="43">
        <f xml:space="preserve"> (C79-C2)/15*L79</f>
        <v>0</v>
      </c>
      <c r="J79" s="43">
        <f xml:space="preserve"> (D79-D2)/15*L79</f>
        <v>0</v>
      </c>
      <c r="L79" s="43">
        <f>(L77*EdSpend!E2) +L77</f>
        <v>0</v>
      </c>
    </row>
  </sheetData>
  <mergeCells count="2">
    <mergeCell ref="B6:D6"/>
    <mergeCell ref="H6:L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AB748-D509-4816-B464-0CDD1D70FB3D}">
  <dimension ref="A1:U91"/>
  <sheetViews>
    <sheetView zoomScaleNormal="100" workbookViewId="0">
      <selection activeCell="F16" sqref="F16"/>
    </sheetView>
  </sheetViews>
  <sheetFormatPr defaultRowHeight="14.5" x14ac:dyDescent="0.35"/>
  <cols>
    <col min="1" max="1" width="15" customWidth="1"/>
    <col min="2" max="2" width="15.90625" customWidth="1"/>
    <col min="3" max="3" width="15.453125" customWidth="1"/>
    <col min="4" max="4" width="17.54296875" customWidth="1"/>
    <col min="5" max="5" width="19.1796875" customWidth="1"/>
    <col min="6" max="6" width="17.26953125" customWidth="1"/>
    <col min="7" max="7" width="15.36328125" customWidth="1"/>
    <col min="9" max="9" width="16.54296875" customWidth="1"/>
    <col min="10" max="11" width="14.6328125" bestFit="1" customWidth="1"/>
    <col min="12" max="12" width="15" customWidth="1"/>
    <col min="13" max="13" width="15.54296875" customWidth="1"/>
    <col min="14" max="14" width="16.7265625" customWidth="1"/>
    <col min="15" max="15" width="16.1796875" customWidth="1"/>
    <col min="16" max="16" width="17.08984375" customWidth="1"/>
    <col min="17" max="17" width="15.54296875" customWidth="1"/>
    <col min="18" max="18" width="17.453125" customWidth="1"/>
    <col min="19" max="19" width="16.6328125" customWidth="1"/>
    <col min="20" max="20" width="15.81640625" customWidth="1"/>
    <col min="21" max="21" width="14.90625" customWidth="1"/>
  </cols>
  <sheetData>
    <row r="1" spans="1:21" x14ac:dyDescent="0.35">
      <c r="A1" s="27" t="s">
        <v>39</v>
      </c>
      <c r="B1" s="228">
        <f>'Property Tax Calc'!E8</f>
        <v>99000000</v>
      </c>
    </row>
    <row r="2" spans="1:21" x14ac:dyDescent="0.35">
      <c r="A2" s="27" t="s">
        <v>9</v>
      </c>
      <c r="B2" s="228">
        <f>'Property Tax Calc'!E11</f>
        <v>37</v>
      </c>
    </row>
    <row r="3" spans="1:21" ht="14.5" customHeight="1" x14ac:dyDescent="0.35">
      <c r="A3" s="27" t="s">
        <v>0</v>
      </c>
      <c r="B3" s="229">
        <f>'Property Tax Calc'!E10</f>
        <v>3.5999999999999997E-2</v>
      </c>
      <c r="F3" s="385" t="s">
        <v>243</v>
      </c>
      <c r="I3" s="388" t="s">
        <v>218</v>
      </c>
    </row>
    <row r="4" spans="1:21" ht="14.5" customHeight="1" x14ac:dyDescent="0.35">
      <c r="A4" s="27" t="s">
        <v>244</v>
      </c>
      <c r="B4" s="230">
        <f>'Property Tax Calc'!E5</f>
        <v>4800000</v>
      </c>
      <c r="F4" s="385"/>
      <c r="I4" s="388"/>
    </row>
    <row r="5" spans="1:21" ht="14.5" customHeight="1" x14ac:dyDescent="0.35">
      <c r="A5" s="27"/>
      <c r="B5" s="27"/>
      <c r="C5" s="27"/>
      <c r="D5" s="27"/>
      <c r="E5" s="383" t="s">
        <v>123</v>
      </c>
      <c r="F5" s="386"/>
      <c r="G5" s="383" t="s">
        <v>124</v>
      </c>
      <c r="I5" s="388"/>
      <c r="J5" s="192" t="s">
        <v>3</v>
      </c>
    </row>
    <row r="6" spans="1:21" ht="15" customHeight="1" thickBot="1" x14ac:dyDescent="0.4">
      <c r="A6" s="77" t="s">
        <v>3</v>
      </c>
      <c r="B6" s="78" t="s">
        <v>1</v>
      </c>
      <c r="C6" s="78" t="s">
        <v>0</v>
      </c>
      <c r="D6" s="78" t="s">
        <v>12</v>
      </c>
      <c r="E6" s="384"/>
      <c r="F6" s="387"/>
      <c r="G6" s="384"/>
      <c r="I6" s="388"/>
      <c r="J6" s="192">
        <v>2025</v>
      </c>
      <c r="K6" s="192">
        <f>J6+1</f>
        <v>2026</v>
      </c>
      <c r="L6" s="192">
        <f t="shared" ref="L6:U6" si="0">K6+1</f>
        <v>2027</v>
      </c>
      <c r="M6" s="192">
        <f t="shared" si="0"/>
        <v>2028</v>
      </c>
      <c r="N6" s="192">
        <f t="shared" si="0"/>
        <v>2029</v>
      </c>
      <c r="O6" s="192">
        <f t="shared" si="0"/>
        <v>2030</v>
      </c>
      <c r="P6" s="192">
        <f t="shared" si="0"/>
        <v>2031</v>
      </c>
      <c r="Q6" s="192">
        <f t="shared" si="0"/>
        <v>2032</v>
      </c>
      <c r="R6" s="192">
        <f t="shared" si="0"/>
        <v>2033</v>
      </c>
      <c r="S6" s="192">
        <f t="shared" si="0"/>
        <v>2034</v>
      </c>
      <c r="T6" s="192">
        <f t="shared" si="0"/>
        <v>2035</v>
      </c>
      <c r="U6" s="192">
        <f t="shared" si="0"/>
        <v>2036</v>
      </c>
    </row>
    <row r="7" spans="1:21" x14ac:dyDescent="0.35">
      <c r="B7" s="74"/>
      <c r="C7" s="74"/>
      <c r="D7" s="74"/>
      <c r="E7" s="74"/>
      <c r="I7" s="177"/>
    </row>
    <row r="8" spans="1:21" x14ac:dyDescent="0.35">
      <c r="A8" s="76">
        <v>2028</v>
      </c>
      <c r="B8" s="74">
        <f>B1/B2</f>
        <v>2675675.6756756757</v>
      </c>
      <c r="C8" s="74">
        <f>D8*B3</f>
        <v>3563999.9999999995</v>
      </c>
      <c r="D8" s="74">
        <f>B1</f>
        <v>99000000</v>
      </c>
      <c r="E8" s="74">
        <f>B8+C8</f>
        <v>6239675.6756756753</v>
      </c>
      <c r="F8" s="43">
        <f>0.31*B4</f>
        <v>1488000</v>
      </c>
      <c r="G8" s="43">
        <f>E8-F8</f>
        <v>4751675.6756756753</v>
      </c>
      <c r="I8" s="43">
        <f>U8</f>
        <v>4195835.0415688427</v>
      </c>
      <c r="J8" s="193">
        <f>(((E8*0.5)*0.025) +(E8*0.5))</f>
        <v>3197833.7837837837</v>
      </c>
      <c r="K8" s="193">
        <f>J8*0.025 + J8</f>
        <v>3277779.6283783782</v>
      </c>
      <c r="L8" s="193">
        <f>K8*0.025 + K8</f>
        <v>3359724.1190878376</v>
      </c>
      <c r="M8" s="193">
        <f t="shared" ref="M8:U64" si="1">L8*0.025 + L8</f>
        <v>3443717.2220650334</v>
      </c>
      <c r="N8" s="193">
        <f t="shared" si="1"/>
        <v>3529810.1526166592</v>
      </c>
      <c r="O8" s="193">
        <f t="shared" si="1"/>
        <v>3618055.4064320754</v>
      </c>
      <c r="P8" s="193">
        <f t="shared" si="1"/>
        <v>3708506.7915928774</v>
      </c>
      <c r="Q8" s="193">
        <f t="shared" si="1"/>
        <v>3801219.4613826992</v>
      </c>
      <c r="R8" s="193">
        <f t="shared" si="1"/>
        <v>3896249.9479172667</v>
      </c>
      <c r="S8" s="193">
        <f t="shared" si="1"/>
        <v>3993656.1966151986</v>
      </c>
      <c r="T8" s="193">
        <f t="shared" si="1"/>
        <v>4093497.6015305785</v>
      </c>
      <c r="U8" s="193">
        <f t="shared" si="1"/>
        <v>4195835.0415688427</v>
      </c>
    </row>
    <row r="9" spans="1:21" x14ac:dyDescent="0.35">
      <c r="A9" s="76"/>
      <c r="B9" s="74"/>
      <c r="C9" s="74"/>
      <c r="D9" s="74"/>
      <c r="E9" s="74"/>
      <c r="G9" s="43"/>
      <c r="I9" s="43"/>
    </row>
    <row r="10" spans="1:21" x14ac:dyDescent="0.35">
      <c r="A10" s="76">
        <f>+A8+1</f>
        <v>2029</v>
      </c>
      <c r="B10" s="74">
        <f>B1/B2</f>
        <v>2675675.6756756757</v>
      </c>
      <c r="C10" s="74">
        <f>D10*B3</f>
        <v>3467675.6756756753</v>
      </c>
      <c r="D10" s="74">
        <f>D8 - B8</f>
        <v>96324324.324324325</v>
      </c>
      <c r="E10" s="74">
        <f>B10+C10</f>
        <v>6143351.3513513505</v>
      </c>
      <c r="F10" s="43">
        <f>0.255*B4</f>
        <v>1224000</v>
      </c>
      <c r="G10" s="43">
        <f t="shared" ref="G10:G86" si="2">E10-F10</f>
        <v>4919351.3513513505</v>
      </c>
      <c r="I10" s="43">
        <f>U10</f>
        <v>4131062.2879254129</v>
      </c>
      <c r="J10" s="193">
        <f>(((E10*0.5)*0.025) +(E10*0.5))</f>
        <v>3148467.5675675673</v>
      </c>
      <c r="K10" s="193">
        <f>J10*0.025 + J10</f>
        <v>3227179.2567567565</v>
      </c>
      <c r="L10" s="193">
        <f>K10*0.025 + K10</f>
        <v>3307858.7381756753</v>
      </c>
      <c r="M10" s="193">
        <f t="shared" si="1"/>
        <v>3390555.206630067</v>
      </c>
      <c r="N10" s="193">
        <f t="shared" si="1"/>
        <v>3475319.0867958185</v>
      </c>
      <c r="O10" s="193">
        <f t="shared" si="1"/>
        <v>3562202.0639657141</v>
      </c>
      <c r="P10" s="193">
        <f t="shared" si="1"/>
        <v>3651257.1155648571</v>
      </c>
      <c r="Q10" s="193">
        <f t="shared" si="1"/>
        <v>3742538.5434539784</v>
      </c>
      <c r="R10" s="193">
        <f t="shared" si="1"/>
        <v>3836102.0070403279</v>
      </c>
      <c r="S10" s="193">
        <f t="shared" si="1"/>
        <v>3932004.557216336</v>
      </c>
      <c r="T10" s="193">
        <f t="shared" si="1"/>
        <v>4030304.6711467444</v>
      </c>
      <c r="U10" s="193">
        <f t="shared" si="1"/>
        <v>4131062.2879254129</v>
      </c>
    </row>
    <row r="11" spans="1:21" x14ac:dyDescent="0.35">
      <c r="A11" s="76"/>
      <c r="B11" s="74"/>
      <c r="C11" s="74"/>
      <c r="D11" s="74"/>
      <c r="E11" s="74"/>
      <c r="G11" s="43"/>
      <c r="I11" s="43"/>
    </row>
    <row r="12" spans="1:21" x14ac:dyDescent="0.35">
      <c r="A12" s="76">
        <f>+A10+1</f>
        <v>2030</v>
      </c>
      <c r="B12" s="74">
        <f>B1/B2</f>
        <v>2675675.6756756757</v>
      </c>
      <c r="C12" s="74">
        <f>D12*B3</f>
        <v>3371351.351351351</v>
      </c>
      <c r="D12" s="74">
        <f>D10 - B10</f>
        <v>93648648.648648649</v>
      </c>
      <c r="E12" s="74">
        <f>B12+C12</f>
        <v>6047027.0270270268</v>
      </c>
      <c r="F12" s="43">
        <f>0.2*B4</f>
        <v>960000</v>
      </c>
      <c r="G12" s="43">
        <f t="shared" si="2"/>
        <v>5087027.0270270268</v>
      </c>
      <c r="I12" s="43">
        <f>U12</f>
        <v>4066289.534281983</v>
      </c>
      <c r="J12" s="193">
        <f>(((E12*0.5)*0.025) +(E12*0.5))</f>
        <v>3099101.351351351</v>
      </c>
      <c r="K12" s="193">
        <f>J12*0.025 + J12</f>
        <v>3176578.8851351347</v>
      </c>
      <c r="L12" s="193">
        <f>K12*0.025 + K12</f>
        <v>3255993.3572635129</v>
      </c>
      <c r="M12" s="193">
        <f t="shared" si="1"/>
        <v>3337393.1911951005</v>
      </c>
      <c r="N12" s="193">
        <f t="shared" si="1"/>
        <v>3420828.0209749779</v>
      </c>
      <c r="O12" s="193">
        <f t="shared" si="1"/>
        <v>3506348.7214993523</v>
      </c>
      <c r="P12" s="193">
        <f t="shared" si="1"/>
        <v>3594007.439536836</v>
      </c>
      <c r="Q12" s="193">
        <f t="shared" si="1"/>
        <v>3683857.6255252571</v>
      </c>
      <c r="R12" s="193">
        <f t="shared" si="1"/>
        <v>3775954.0661633885</v>
      </c>
      <c r="S12" s="193">
        <f t="shared" si="1"/>
        <v>3870352.9178174734</v>
      </c>
      <c r="T12" s="193">
        <f t="shared" si="1"/>
        <v>3967111.7407629103</v>
      </c>
      <c r="U12" s="193">
        <f t="shared" si="1"/>
        <v>4066289.534281983</v>
      </c>
    </row>
    <row r="13" spans="1:21" x14ac:dyDescent="0.35">
      <c r="A13" s="76"/>
      <c r="B13" s="74"/>
      <c r="C13" s="74"/>
      <c r="D13" s="74"/>
      <c r="E13" s="74"/>
      <c r="F13" s="43"/>
      <c r="G13" s="43"/>
      <c r="I13" s="43"/>
    </row>
    <row r="14" spans="1:21" x14ac:dyDescent="0.35">
      <c r="A14" s="76">
        <f>+A12+1</f>
        <v>2031</v>
      </c>
      <c r="B14" s="74">
        <f>B1/B2</f>
        <v>2675675.6756756757</v>
      </c>
      <c r="C14" s="74">
        <f>D14*B3</f>
        <v>3275027.0270270268</v>
      </c>
      <c r="D14" s="74">
        <f>D12 - B12</f>
        <v>90972972.972972974</v>
      </c>
      <c r="E14" s="74">
        <f>B14+C14</f>
        <v>5950702.702702703</v>
      </c>
      <c r="F14" s="43">
        <f>0.145*B4</f>
        <v>696000</v>
      </c>
      <c r="G14" s="43">
        <f t="shared" si="2"/>
        <v>5254702.702702703</v>
      </c>
      <c r="I14" s="43">
        <f>U14</f>
        <v>4001516.7806385541</v>
      </c>
      <c r="J14" s="193">
        <f>(((E14*0.5)*0.025) +(E14*0.5))</f>
        <v>3049735.1351351351</v>
      </c>
      <c r="K14" s="193">
        <f>J14*0.025 + J14</f>
        <v>3125978.5135135134</v>
      </c>
      <c r="L14" s="193">
        <f>K14*0.025 + K14</f>
        <v>3204127.976351351</v>
      </c>
      <c r="M14" s="193">
        <f t="shared" si="1"/>
        <v>3284231.1757601346</v>
      </c>
      <c r="N14" s="193">
        <f t="shared" si="1"/>
        <v>3366336.9551541382</v>
      </c>
      <c r="O14" s="193">
        <f t="shared" si="1"/>
        <v>3450495.3790329918</v>
      </c>
      <c r="P14" s="193">
        <f t="shared" si="1"/>
        <v>3536757.7635088167</v>
      </c>
      <c r="Q14" s="193">
        <f t="shared" si="1"/>
        <v>3625176.7075965372</v>
      </c>
      <c r="R14" s="193">
        <f t="shared" si="1"/>
        <v>3715806.1252864506</v>
      </c>
      <c r="S14" s="193">
        <f t="shared" si="1"/>
        <v>3808701.2784186117</v>
      </c>
      <c r="T14" s="193">
        <f t="shared" si="1"/>
        <v>3903918.8103790772</v>
      </c>
      <c r="U14" s="193">
        <f t="shared" si="1"/>
        <v>4001516.7806385541</v>
      </c>
    </row>
    <row r="15" spans="1:21" x14ac:dyDescent="0.35">
      <c r="A15" s="76"/>
      <c r="B15" s="74"/>
      <c r="C15" s="74"/>
      <c r="D15" s="74"/>
      <c r="E15" s="74"/>
      <c r="F15" s="43"/>
      <c r="G15" s="43"/>
      <c r="I15" s="43"/>
    </row>
    <row r="16" spans="1:21" x14ac:dyDescent="0.35">
      <c r="A16" s="76">
        <f>+A14+1</f>
        <v>2032</v>
      </c>
      <c r="B16" s="74">
        <f>B1/B2</f>
        <v>2675675.6756756757</v>
      </c>
      <c r="C16" s="74">
        <f>D16*B3</f>
        <v>3178702.7027027025</v>
      </c>
      <c r="D16" s="74">
        <f>D14 - B14</f>
        <v>88297297.297297299</v>
      </c>
      <c r="E16" s="74">
        <f>B16+C16</f>
        <v>5854378.3783783782</v>
      </c>
      <c r="F16" s="43">
        <f>0.09*B4 + 0.5*'Property Tax Calc'!E6</f>
        <v>432000</v>
      </c>
      <c r="G16" s="43">
        <f t="shared" si="2"/>
        <v>5422378.3783783782</v>
      </c>
      <c r="I16" s="43">
        <f>U16</f>
        <v>3936744.0269951238</v>
      </c>
      <c r="J16" s="193">
        <f>(((E16*0.5)*0.025) +(E16*0.5))</f>
        <v>3000368.9189189188</v>
      </c>
      <c r="K16" s="193">
        <f>J16*0.025 + J16</f>
        <v>3075378.1418918916</v>
      </c>
      <c r="L16" s="193">
        <f>K16*0.025 + K16</f>
        <v>3152262.5954391891</v>
      </c>
      <c r="M16" s="193">
        <f t="shared" si="1"/>
        <v>3231069.1603251686</v>
      </c>
      <c r="N16" s="193">
        <f t="shared" si="1"/>
        <v>3311845.889333298</v>
      </c>
      <c r="O16" s="193">
        <f t="shared" si="1"/>
        <v>3394642.0365666305</v>
      </c>
      <c r="P16" s="193">
        <f t="shared" si="1"/>
        <v>3479508.087480796</v>
      </c>
      <c r="Q16" s="193">
        <f t="shared" si="1"/>
        <v>3566495.7896678159</v>
      </c>
      <c r="R16" s="193">
        <f t="shared" si="1"/>
        <v>3655658.1844095113</v>
      </c>
      <c r="S16" s="193">
        <f t="shared" si="1"/>
        <v>3747049.6390197491</v>
      </c>
      <c r="T16" s="193">
        <f t="shared" si="1"/>
        <v>3840725.8799952427</v>
      </c>
      <c r="U16" s="193">
        <f t="shared" si="1"/>
        <v>3936744.0269951238</v>
      </c>
    </row>
    <row r="17" spans="1:21" x14ac:dyDescent="0.35">
      <c r="A17" s="76"/>
      <c r="B17" s="74"/>
      <c r="C17" s="74"/>
      <c r="D17" s="74"/>
      <c r="E17" s="74"/>
      <c r="F17" s="43"/>
      <c r="G17" s="43"/>
      <c r="I17" s="43"/>
    </row>
    <row r="18" spans="1:21" x14ac:dyDescent="0.35">
      <c r="A18" s="76">
        <f>+A16+1</f>
        <v>2033</v>
      </c>
      <c r="B18" s="74">
        <f>B1/B2</f>
        <v>2675675.6756756757</v>
      </c>
      <c r="C18" s="74">
        <f>D18*B3</f>
        <v>3082378.3783783782</v>
      </c>
      <c r="D18" s="74">
        <f>D16 - B16</f>
        <v>85621621.621621624</v>
      </c>
      <c r="E18" s="74">
        <f>B18+C18</f>
        <v>5758054.0540540535</v>
      </c>
      <c r="F18" s="43">
        <f>'Property Tax Calc'!E6</f>
        <v>0</v>
      </c>
      <c r="G18" s="43">
        <f t="shared" si="2"/>
        <v>5758054.0540540535</v>
      </c>
      <c r="I18" s="43">
        <f>U18</f>
        <v>3871971.2733516935</v>
      </c>
      <c r="J18" s="193">
        <f>(((E18*0.5)*0.025) +(E18*0.5))</f>
        <v>2951002.7027027025</v>
      </c>
      <c r="K18" s="193">
        <f>J18*0.025 + J18</f>
        <v>3024777.7702702698</v>
      </c>
      <c r="L18" s="193">
        <f>K18*0.025 + K18</f>
        <v>3100397.2145270268</v>
      </c>
      <c r="M18" s="193">
        <f t="shared" si="1"/>
        <v>3177907.1448902022</v>
      </c>
      <c r="N18" s="193">
        <f t="shared" si="1"/>
        <v>3257354.8235124573</v>
      </c>
      <c r="O18" s="193">
        <f t="shared" si="1"/>
        <v>3338788.6941002687</v>
      </c>
      <c r="P18" s="193">
        <f t="shared" si="1"/>
        <v>3422258.4114527754</v>
      </c>
      <c r="Q18" s="193">
        <f t="shared" si="1"/>
        <v>3507814.8717390946</v>
      </c>
      <c r="R18" s="193">
        <f t="shared" si="1"/>
        <v>3595510.2435325719</v>
      </c>
      <c r="S18" s="193">
        <f t="shared" si="1"/>
        <v>3685397.9996208861</v>
      </c>
      <c r="T18" s="193">
        <f t="shared" si="1"/>
        <v>3777532.9496114082</v>
      </c>
      <c r="U18" s="193">
        <f t="shared" si="1"/>
        <v>3871971.2733516935</v>
      </c>
    </row>
    <row r="19" spans="1:21" x14ac:dyDescent="0.35">
      <c r="A19" s="76"/>
      <c r="B19" s="74"/>
      <c r="C19" s="74"/>
      <c r="D19" s="74"/>
      <c r="E19" s="74"/>
      <c r="F19" s="43"/>
      <c r="G19" s="43"/>
      <c r="I19" s="43"/>
    </row>
    <row r="20" spans="1:21" x14ac:dyDescent="0.35">
      <c r="A20" s="76">
        <f>+A18+1</f>
        <v>2034</v>
      </c>
      <c r="B20" s="74">
        <f>B1/B2</f>
        <v>2675675.6756756757</v>
      </c>
      <c r="C20" s="74">
        <f>D20*B3</f>
        <v>2986054.054054054</v>
      </c>
      <c r="D20" s="74">
        <f>D18 - B18</f>
        <v>82945945.945945948</v>
      </c>
      <c r="E20" s="74">
        <f>B20+C20</f>
        <v>5661729.7297297297</v>
      </c>
      <c r="F20" s="43">
        <f>'Property Tax Calc'!E6</f>
        <v>0</v>
      </c>
      <c r="G20" s="43">
        <f t="shared" si="2"/>
        <v>5661729.7297297297</v>
      </c>
      <c r="I20" s="43">
        <f>U20</f>
        <v>3807198.5197082656</v>
      </c>
      <c r="J20" s="193">
        <f>(((E20*0.5)*0.025) +(E20*0.5))</f>
        <v>2901636.4864864866</v>
      </c>
      <c r="K20" s="193">
        <f>J20*0.025 + J20</f>
        <v>2974177.398648649</v>
      </c>
      <c r="L20" s="193">
        <f>K20*0.025 + K20</f>
        <v>3048531.8336148653</v>
      </c>
      <c r="M20" s="193">
        <f t="shared" si="1"/>
        <v>3124745.1294552367</v>
      </c>
      <c r="N20" s="193">
        <f t="shared" si="1"/>
        <v>3202863.7576916176</v>
      </c>
      <c r="O20" s="193">
        <f t="shared" si="1"/>
        <v>3282935.3516339082</v>
      </c>
      <c r="P20" s="193">
        <f t="shared" si="1"/>
        <v>3365008.7354247561</v>
      </c>
      <c r="Q20" s="193">
        <f t="shared" si="1"/>
        <v>3449133.9538103752</v>
      </c>
      <c r="R20" s="193">
        <f t="shared" si="1"/>
        <v>3535362.3026556345</v>
      </c>
      <c r="S20" s="193">
        <f t="shared" si="1"/>
        <v>3623746.3602220253</v>
      </c>
      <c r="T20" s="193">
        <f t="shared" si="1"/>
        <v>3714340.019227576</v>
      </c>
      <c r="U20" s="193">
        <f t="shared" si="1"/>
        <v>3807198.5197082656</v>
      </c>
    </row>
    <row r="21" spans="1:21" x14ac:dyDescent="0.35">
      <c r="A21" s="76"/>
      <c r="B21" s="74"/>
      <c r="C21" s="74"/>
      <c r="D21" s="74"/>
      <c r="E21" s="74"/>
      <c r="F21" s="43"/>
      <c r="G21" s="43"/>
      <c r="I21" s="43"/>
    </row>
    <row r="22" spans="1:21" x14ac:dyDescent="0.35">
      <c r="A22" s="76">
        <f>+A20+1</f>
        <v>2035</v>
      </c>
      <c r="B22" s="74">
        <f>B1/B2</f>
        <v>2675675.6756756757</v>
      </c>
      <c r="C22" s="74">
        <f>D22*B3</f>
        <v>2889729.7297297297</v>
      </c>
      <c r="D22" s="74">
        <f>D20 - B20</f>
        <v>80270270.270270273</v>
      </c>
      <c r="E22" s="74">
        <f>B22+C22</f>
        <v>5565405.4054054059</v>
      </c>
      <c r="F22" s="43">
        <f>'Property Tax Calc'!E6</f>
        <v>0</v>
      </c>
      <c r="G22" s="43">
        <f t="shared" si="2"/>
        <v>5565405.4054054059</v>
      </c>
      <c r="I22" s="43">
        <f>U22</f>
        <v>3742425.7660648348</v>
      </c>
      <c r="J22" s="193">
        <f>(((E22*0.5)*0.025) +(E22*0.5))</f>
        <v>2852270.2702702703</v>
      </c>
      <c r="K22" s="193">
        <f>J22*0.025 + J22</f>
        <v>2923577.0270270272</v>
      </c>
      <c r="L22" s="193">
        <f>K22*0.025 + K22</f>
        <v>2996666.452702703</v>
      </c>
      <c r="M22" s="193">
        <f t="shared" si="1"/>
        <v>3071583.1140202703</v>
      </c>
      <c r="N22" s="193">
        <f t="shared" si="1"/>
        <v>3148372.6918707769</v>
      </c>
      <c r="O22" s="193">
        <f t="shared" si="1"/>
        <v>3227082.0091675464</v>
      </c>
      <c r="P22" s="193">
        <f t="shared" si="1"/>
        <v>3307759.0593967349</v>
      </c>
      <c r="Q22" s="193">
        <f t="shared" si="1"/>
        <v>3390453.0358816534</v>
      </c>
      <c r="R22" s="193">
        <f t="shared" si="1"/>
        <v>3475214.3617786947</v>
      </c>
      <c r="S22" s="193">
        <f t="shared" si="1"/>
        <v>3562094.7208231622</v>
      </c>
      <c r="T22" s="193">
        <f t="shared" si="1"/>
        <v>3651147.0888437415</v>
      </c>
      <c r="U22" s="193">
        <f t="shared" si="1"/>
        <v>3742425.7660648348</v>
      </c>
    </row>
    <row r="23" spans="1:21" x14ac:dyDescent="0.35">
      <c r="A23" s="76"/>
      <c r="B23" s="74"/>
      <c r="C23" s="74"/>
      <c r="D23" s="74"/>
      <c r="E23" s="74"/>
      <c r="F23" s="43"/>
      <c r="G23" s="43"/>
      <c r="I23" s="43"/>
    </row>
    <row r="24" spans="1:21" x14ac:dyDescent="0.35">
      <c r="A24" s="76">
        <f>+A22+1</f>
        <v>2036</v>
      </c>
      <c r="B24" s="74">
        <f>B1/B2</f>
        <v>2675675.6756756757</v>
      </c>
      <c r="C24" s="74">
        <f>D24*B3</f>
        <v>2793405.4054054054</v>
      </c>
      <c r="D24" s="74">
        <f>D22 - B22</f>
        <v>77594594.594594598</v>
      </c>
      <c r="E24" s="74">
        <f>B24+C24</f>
        <v>5469081.0810810812</v>
      </c>
      <c r="F24" s="43">
        <f>'Property Tax Calc'!E6</f>
        <v>0</v>
      </c>
      <c r="G24" s="43">
        <f t="shared" si="2"/>
        <v>5469081.0810810812</v>
      </c>
      <c r="I24" s="43">
        <f>U24</f>
        <v>3677653.012421404</v>
      </c>
      <c r="J24" s="193">
        <f>(((E24*0.5)*0.025) +(E24*0.5))</f>
        <v>2802904.054054054</v>
      </c>
      <c r="K24" s="193">
        <f>J24*0.025 + J24</f>
        <v>2872976.6554054054</v>
      </c>
      <c r="L24" s="193">
        <f>K24*0.025 + K24</f>
        <v>2944801.0717905406</v>
      </c>
      <c r="M24" s="193">
        <f t="shared" si="1"/>
        <v>3018421.0985853039</v>
      </c>
      <c r="N24" s="193">
        <f t="shared" si="1"/>
        <v>3093881.6260499363</v>
      </c>
      <c r="O24" s="193">
        <f t="shared" si="1"/>
        <v>3171228.6667011846</v>
      </c>
      <c r="P24" s="193">
        <f t="shared" si="1"/>
        <v>3250509.3833687142</v>
      </c>
      <c r="Q24" s="193">
        <f t="shared" si="1"/>
        <v>3331772.1179529321</v>
      </c>
      <c r="R24" s="193">
        <f t="shared" si="1"/>
        <v>3415066.4209017553</v>
      </c>
      <c r="S24" s="193">
        <f t="shared" si="1"/>
        <v>3500443.0814242992</v>
      </c>
      <c r="T24" s="193">
        <f t="shared" si="1"/>
        <v>3587954.1584599065</v>
      </c>
      <c r="U24" s="193">
        <f t="shared" si="1"/>
        <v>3677653.012421404</v>
      </c>
    </row>
    <row r="25" spans="1:21" x14ac:dyDescent="0.35">
      <c r="A25" s="76"/>
      <c r="B25" s="74"/>
      <c r="C25" s="74"/>
      <c r="D25" s="74"/>
      <c r="E25" s="74"/>
      <c r="F25" s="43"/>
      <c r="G25" s="43"/>
      <c r="I25" s="43"/>
    </row>
    <row r="26" spans="1:21" x14ac:dyDescent="0.35">
      <c r="A26" s="76">
        <f>+A24+1</f>
        <v>2037</v>
      </c>
      <c r="B26" s="74">
        <f>B1/B2</f>
        <v>2675675.6756756757</v>
      </c>
      <c r="C26" s="74">
        <f>D26*B3</f>
        <v>2697081.0810810812</v>
      </c>
      <c r="D26" s="74">
        <f>D24 - B24</f>
        <v>74918918.918918923</v>
      </c>
      <c r="E26" s="74">
        <f>B26+C26</f>
        <v>5372756.7567567565</v>
      </c>
      <c r="F26" s="43">
        <f>'Property Tax Calc'!E6</f>
        <v>0</v>
      </c>
      <c r="G26" s="43">
        <f t="shared" si="2"/>
        <v>5372756.7567567565</v>
      </c>
      <c r="I26" s="43">
        <f>U26</f>
        <v>3612880.2587779751</v>
      </c>
      <c r="J26" s="193">
        <f>(((E26*0.5)*0.025) +(E26*0.5))</f>
        <v>2753537.8378378376</v>
      </c>
      <c r="K26" s="193">
        <f>J26*0.025 + J26</f>
        <v>2822376.2837837837</v>
      </c>
      <c r="L26" s="193">
        <f>K26*0.025 + K26</f>
        <v>2892935.6908783782</v>
      </c>
      <c r="M26" s="193">
        <f t="shared" si="1"/>
        <v>2965259.0831503375</v>
      </c>
      <c r="N26" s="193">
        <f t="shared" si="1"/>
        <v>3039390.5602290961</v>
      </c>
      <c r="O26" s="193">
        <f t="shared" si="1"/>
        <v>3115375.3242348237</v>
      </c>
      <c r="P26" s="193">
        <f t="shared" si="1"/>
        <v>3193259.7073406945</v>
      </c>
      <c r="Q26" s="193">
        <f t="shared" si="1"/>
        <v>3273091.2000242118</v>
      </c>
      <c r="R26" s="193">
        <f t="shared" si="1"/>
        <v>3354918.4800248169</v>
      </c>
      <c r="S26" s="193">
        <f t="shared" si="1"/>
        <v>3438791.4420254375</v>
      </c>
      <c r="T26" s="193">
        <f t="shared" si="1"/>
        <v>3524761.2280760733</v>
      </c>
      <c r="U26" s="193">
        <f t="shared" si="1"/>
        <v>3612880.2587779751</v>
      </c>
    </row>
    <row r="27" spans="1:21" x14ac:dyDescent="0.35">
      <c r="A27" s="76"/>
      <c r="B27" s="74"/>
      <c r="C27" s="74"/>
      <c r="D27" s="74"/>
      <c r="E27" s="74"/>
      <c r="G27" s="43"/>
      <c r="I27" s="43"/>
    </row>
    <row r="28" spans="1:21" x14ac:dyDescent="0.35">
      <c r="A28" s="76">
        <f>+A26+1</f>
        <v>2038</v>
      </c>
      <c r="B28" s="74">
        <f>B1/B2</f>
        <v>2675675.6756756757</v>
      </c>
      <c r="C28" s="74">
        <f>D28*B3</f>
        <v>2600756.7567567569</v>
      </c>
      <c r="D28" s="74">
        <f>D26 - B26</f>
        <v>72243243.243243247</v>
      </c>
      <c r="E28" s="74">
        <f>B28+C28</f>
        <v>5276432.4324324327</v>
      </c>
      <c r="F28">
        <f>'Property Tax Calc'!E6</f>
        <v>0</v>
      </c>
      <c r="G28" s="43">
        <f t="shared" si="2"/>
        <v>5276432.4324324327</v>
      </c>
      <c r="I28" s="43">
        <f>U28</f>
        <v>3548107.5051345453</v>
      </c>
      <c r="J28" s="193">
        <f>(((E28*0.5)*0.025) +(E28*0.5))</f>
        <v>2704171.6216216218</v>
      </c>
      <c r="K28" s="193">
        <f>J28*0.025 + J28</f>
        <v>2771775.9121621624</v>
      </c>
      <c r="L28" s="193">
        <f>K28*0.025 + K28</f>
        <v>2841070.3099662163</v>
      </c>
      <c r="M28" s="193">
        <f t="shared" si="1"/>
        <v>2912097.067715372</v>
      </c>
      <c r="N28" s="193">
        <f t="shared" si="1"/>
        <v>2984899.4944082564</v>
      </c>
      <c r="O28" s="193">
        <f t="shared" si="1"/>
        <v>3059521.9817684628</v>
      </c>
      <c r="P28" s="193">
        <f t="shared" si="1"/>
        <v>3136010.0313126743</v>
      </c>
      <c r="Q28" s="193">
        <f t="shared" si="1"/>
        <v>3214410.282095491</v>
      </c>
      <c r="R28" s="193">
        <f t="shared" si="1"/>
        <v>3294770.5391478781</v>
      </c>
      <c r="S28" s="193">
        <f t="shared" si="1"/>
        <v>3377139.8026265749</v>
      </c>
      <c r="T28" s="193">
        <f t="shared" si="1"/>
        <v>3461568.2976922393</v>
      </c>
      <c r="U28" s="193">
        <f t="shared" si="1"/>
        <v>3548107.5051345453</v>
      </c>
    </row>
    <row r="29" spans="1:21" x14ac:dyDescent="0.35">
      <c r="A29" s="76"/>
      <c r="B29" s="74"/>
      <c r="C29" s="74"/>
      <c r="D29" s="74"/>
      <c r="E29" s="74"/>
      <c r="G29" s="43"/>
      <c r="I29" s="43"/>
    </row>
    <row r="30" spans="1:21" x14ac:dyDescent="0.35">
      <c r="A30" s="76">
        <f>+A28+1</f>
        <v>2039</v>
      </c>
      <c r="B30" s="74">
        <f>B1/B2</f>
        <v>2675675.6756756757</v>
      </c>
      <c r="C30" s="74">
        <f>D30*B3</f>
        <v>2504432.4324324322</v>
      </c>
      <c r="D30" s="74">
        <f>D28 - B28</f>
        <v>69567567.567567572</v>
      </c>
      <c r="E30" s="74">
        <f>B30+C30</f>
        <v>5180108.1081081079</v>
      </c>
      <c r="F30">
        <f>'Property Tax Calc'!E6</f>
        <v>0</v>
      </c>
      <c r="G30" s="43">
        <f t="shared" si="2"/>
        <v>5180108.1081081079</v>
      </c>
      <c r="I30" s="43">
        <f>U30</f>
        <v>3483334.7514911159</v>
      </c>
      <c r="J30" s="193">
        <f>(((E30*0.5)*0.025) +(E30*0.5))</f>
        <v>2654805.4054054054</v>
      </c>
      <c r="K30" s="193">
        <f>J30*0.025 + J30</f>
        <v>2721175.5405405406</v>
      </c>
      <c r="L30" s="193">
        <f>K30*0.025 + K30</f>
        <v>2789204.929054054</v>
      </c>
      <c r="M30" s="193">
        <f t="shared" si="1"/>
        <v>2858935.0522804055</v>
      </c>
      <c r="N30" s="193">
        <f t="shared" si="1"/>
        <v>2930408.4285874157</v>
      </c>
      <c r="O30" s="193">
        <f t="shared" si="1"/>
        <v>3003668.639302101</v>
      </c>
      <c r="P30" s="193">
        <f t="shared" si="1"/>
        <v>3078760.3552846536</v>
      </c>
      <c r="Q30" s="193">
        <f t="shared" si="1"/>
        <v>3155729.3641667701</v>
      </c>
      <c r="R30" s="193">
        <f t="shared" si="1"/>
        <v>3234622.5982709392</v>
      </c>
      <c r="S30" s="193">
        <f t="shared" si="1"/>
        <v>3315488.1632277127</v>
      </c>
      <c r="T30" s="193">
        <f t="shared" si="1"/>
        <v>3398375.3673084057</v>
      </c>
      <c r="U30" s="193">
        <f t="shared" si="1"/>
        <v>3483334.7514911159</v>
      </c>
    </row>
    <row r="31" spans="1:21" x14ac:dyDescent="0.35">
      <c r="A31" s="76"/>
      <c r="B31" s="74"/>
      <c r="C31" s="74"/>
      <c r="D31" s="74"/>
      <c r="E31" s="74"/>
      <c r="G31" s="43"/>
      <c r="I31" s="43"/>
    </row>
    <row r="32" spans="1:21" x14ac:dyDescent="0.35">
      <c r="A32" s="76">
        <f>+A30+1</f>
        <v>2040</v>
      </c>
      <c r="B32" s="74">
        <f>B1/B2</f>
        <v>2675675.6756756757</v>
      </c>
      <c r="C32" s="74">
        <f>D32*B3</f>
        <v>2408108.1081081079</v>
      </c>
      <c r="D32" s="74">
        <f>D30 - B30</f>
        <v>66891891.891891897</v>
      </c>
      <c r="E32" s="74">
        <f>B32+C32</f>
        <v>5083783.7837837841</v>
      </c>
      <c r="F32">
        <f>'Property Tax Calc'!E6</f>
        <v>0</v>
      </c>
      <c r="G32" s="43">
        <f t="shared" si="2"/>
        <v>5083783.7837837841</v>
      </c>
      <c r="I32" s="43">
        <f>U32</f>
        <v>3418561.9978476856</v>
      </c>
      <c r="J32" s="193">
        <f>(((E32*0.5)*0.025) +(E32*0.5))</f>
        <v>2605439.1891891896</v>
      </c>
      <c r="K32" s="193">
        <f>J32*0.025 + J32</f>
        <v>2670575.1689189193</v>
      </c>
      <c r="L32" s="193">
        <f>K32*0.025 + K32</f>
        <v>2737339.5481418921</v>
      </c>
      <c r="M32" s="193">
        <f t="shared" si="1"/>
        <v>2805773.0368454396</v>
      </c>
      <c r="N32" s="193">
        <f t="shared" si="1"/>
        <v>2875917.3627665755</v>
      </c>
      <c r="O32" s="193">
        <f t="shared" si="1"/>
        <v>2947815.2968357401</v>
      </c>
      <c r="P32" s="193">
        <f t="shared" si="1"/>
        <v>3021510.6792566334</v>
      </c>
      <c r="Q32" s="193">
        <f t="shared" si="1"/>
        <v>3097048.4462380493</v>
      </c>
      <c r="R32" s="193">
        <f t="shared" si="1"/>
        <v>3174474.6573940003</v>
      </c>
      <c r="S32" s="193">
        <f t="shared" si="1"/>
        <v>3253836.5238288501</v>
      </c>
      <c r="T32" s="193">
        <f t="shared" si="1"/>
        <v>3335182.4369245712</v>
      </c>
      <c r="U32" s="193">
        <f t="shared" si="1"/>
        <v>3418561.9978476856</v>
      </c>
    </row>
    <row r="33" spans="1:21" x14ac:dyDescent="0.35">
      <c r="A33" s="76"/>
      <c r="B33" s="74"/>
      <c r="C33" s="74"/>
      <c r="D33" s="74"/>
      <c r="E33" s="74"/>
      <c r="G33" s="43"/>
      <c r="I33" s="43"/>
    </row>
    <row r="34" spans="1:21" x14ac:dyDescent="0.35">
      <c r="A34" s="76">
        <f>+A32+1</f>
        <v>2041</v>
      </c>
      <c r="B34" s="74">
        <f>B1/B2</f>
        <v>2675675.6756756757</v>
      </c>
      <c r="C34" s="74">
        <f>D34*B3</f>
        <v>2311783.7837837837</v>
      </c>
      <c r="D34" s="74">
        <f>D32 - B32</f>
        <v>64216216.216216221</v>
      </c>
      <c r="E34" s="74">
        <f>B34+C34</f>
        <v>4987459.4594594594</v>
      </c>
      <c r="F34">
        <f>'Property Tax Calc'!E6</f>
        <v>0</v>
      </c>
      <c r="G34" s="43">
        <f t="shared" si="2"/>
        <v>4987459.4594594594</v>
      </c>
      <c r="I34" s="43">
        <f>U34</f>
        <v>3353789.2442042558</v>
      </c>
      <c r="J34" s="193">
        <f>(((E34*0.5)*0.025) +(E34*0.5))</f>
        <v>2556072.9729729728</v>
      </c>
      <c r="K34" s="193">
        <f>J34*0.025 + J34</f>
        <v>2619974.797297297</v>
      </c>
      <c r="L34" s="193">
        <f>K34*0.025 + K34</f>
        <v>2685474.1672297297</v>
      </c>
      <c r="M34" s="193">
        <f t="shared" si="1"/>
        <v>2752611.0214104732</v>
      </c>
      <c r="N34" s="193">
        <f t="shared" si="1"/>
        <v>2821426.2969457349</v>
      </c>
      <c r="O34" s="193">
        <f t="shared" si="1"/>
        <v>2891961.9543693783</v>
      </c>
      <c r="P34" s="193">
        <f t="shared" si="1"/>
        <v>2964261.0032286127</v>
      </c>
      <c r="Q34" s="193">
        <f t="shared" si="1"/>
        <v>3038367.528309328</v>
      </c>
      <c r="R34" s="193">
        <f t="shared" si="1"/>
        <v>3114326.716517061</v>
      </c>
      <c r="S34" s="193">
        <f t="shared" si="1"/>
        <v>3192184.8844299875</v>
      </c>
      <c r="T34" s="193">
        <f t="shared" si="1"/>
        <v>3271989.5065407371</v>
      </c>
      <c r="U34" s="193">
        <f t="shared" si="1"/>
        <v>3353789.2442042558</v>
      </c>
    </row>
    <row r="35" spans="1:21" x14ac:dyDescent="0.35">
      <c r="A35" s="76"/>
      <c r="B35" s="74"/>
      <c r="C35" s="74"/>
      <c r="D35" s="74"/>
      <c r="E35" s="74"/>
      <c r="G35" s="43"/>
      <c r="I35" s="43"/>
    </row>
    <row r="36" spans="1:21" x14ac:dyDescent="0.35">
      <c r="A36" s="76">
        <f>+A34+1</f>
        <v>2042</v>
      </c>
      <c r="B36" s="74">
        <f>B1/B2</f>
        <v>2675675.6756756757</v>
      </c>
      <c r="C36" s="74">
        <f>D36*B3</f>
        <v>2215459.4594594594</v>
      </c>
      <c r="D36" s="74">
        <f>D34 - B34</f>
        <v>61540540.540540546</v>
      </c>
      <c r="E36" s="74">
        <f>B36+C36</f>
        <v>4891135.1351351347</v>
      </c>
      <c r="F36">
        <f>'Property Tax Calc'!E6</f>
        <v>0</v>
      </c>
      <c r="G36" s="43">
        <f t="shared" si="2"/>
        <v>4891135.1351351347</v>
      </c>
      <c r="I36" s="43">
        <f>U36</f>
        <v>3289016.4905608254</v>
      </c>
      <c r="J36" s="193">
        <f>(((E36*0.5)*0.025) +(E36*0.5))</f>
        <v>2506706.7567567565</v>
      </c>
      <c r="K36" s="193">
        <f>J36*0.025 + J36</f>
        <v>2569374.4256756753</v>
      </c>
      <c r="L36" s="193">
        <f>K36*0.025 + K36</f>
        <v>2633608.7863175673</v>
      </c>
      <c r="M36" s="193">
        <f t="shared" si="1"/>
        <v>2699449.0059755067</v>
      </c>
      <c r="N36" s="193">
        <f t="shared" si="1"/>
        <v>2766935.2311248942</v>
      </c>
      <c r="O36" s="193">
        <f t="shared" si="1"/>
        <v>2836108.6119030165</v>
      </c>
      <c r="P36" s="193">
        <f t="shared" si="1"/>
        <v>2907011.327200592</v>
      </c>
      <c r="Q36" s="193">
        <f t="shared" si="1"/>
        <v>2979686.6103806067</v>
      </c>
      <c r="R36" s="193">
        <f t="shared" si="1"/>
        <v>3054178.7756401217</v>
      </c>
      <c r="S36" s="193">
        <f t="shared" si="1"/>
        <v>3130533.2450311249</v>
      </c>
      <c r="T36" s="193">
        <f t="shared" si="1"/>
        <v>3208796.5761569031</v>
      </c>
      <c r="U36" s="193">
        <f t="shared" si="1"/>
        <v>3289016.4905608254</v>
      </c>
    </row>
    <row r="37" spans="1:21" x14ac:dyDescent="0.35">
      <c r="A37" s="76"/>
      <c r="B37" s="74"/>
      <c r="C37" s="74"/>
      <c r="D37" s="74"/>
      <c r="E37" s="74"/>
      <c r="G37" s="43"/>
      <c r="I37" s="43"/>
    </row>
    <row r="38" spans="1:21" x14ac:dyDescent="0.35">
      <c r="A38" s="76">
        <f>+A36+1</f>
        <v>2043</v>
      </c>
      <c r="B38" s="74">
        <f>B1/B2</f>
        <v>2675675.6756756757</v>
      </c>
      <c r="C38" s="74">
        <f>D38*B3</f>
        <v>2119135.1351351351</v>
      </c>
      <c r="D38" s="74">
        <f>D36 - B36</f>
        <v>58864864.864864871</v>
      </c>
      <c r="E38" s="74">
        <f>B38+C38</f>
        <v>4794810.8108108109</v>
      </c>
      <c r="F38">
        <f>'Property Tax Calc'!E6</f>
        <v>0</v>
      </c>
      <c r="G38" s="43">
        <f t="shared" si="2"/>
        <v>4794810.8108108109</v>
      </c>
      <c r="I38" s="43">
        <f>U38</f>
        <v>3224243.7369173965</v>
      </c>
      <c r="J38" s="193">
        <f>(((E38*0.5)*0.025) +(E38*0.5))</f>
        <v>2457340.5405405406</v>
      </c>
      <c r="K38" s="193">
        <f>J38*0.025 + J38</f>
        <v>2518774.054054054</v>
      </c>
      <c r="L38" s="193">
        <f>K38*0.025 + K38</f>
        <v>2581743.4054054054</v>
      </c>
      <c r="M38" s="193">
        <f t="shared" si="1"/>
        <v>2646286.9905405408</v>
      </c>
      <c r="N38" s="193">
        <f t="shared" si="1"/>
        <v>2712444.1653040545</v>
      </c>
      <c r="O38" s="193">
        <f t="shared" si="1"/>
        <v>2780255.269436656</v>
      </c>
      <c r="P38" s="193">
        <f t="shared" si="1"/>
        <v>2849761.6511725723</v>
      </c>
      <c r="Q38" s="193">
        <f t="shared" si="1"/>
        <v>2921005.6924518864</v>
      </c>
      <c r="R38" s="193">
        <f t="shared" si="1"/>
        <v>2994030.8347631837</v>
      </c>
      <c r="S38" s="193">
        <f t="shared" si="1"/>
        <v>3068881.6056322632</v>
      </c>
      <c r="T38" s="193">
        <f t="shared" si="1"/>
        <v>3145603.6457730699</v>
      </c>
      <c r="U38" s="193">
        <f t="shared" si="1"/>
        <v>3224243.7369173965</v>
      </c>
    </row>
    <row r="39" spans="1:21" x14ac:dyDescent="0.35">
      <c r="A39" s="76"/>
      <c r="B39" s="74"/>
      <c r="C39" s="74"/>
      <c r="D39" s="74"/>
      <c r="E39" s="74"/>
      <c r="G39" s="43"/>
      <c r="I39" s="43"/>
    </row>
    <row r="40" spans="1:21" x14ac:dyDescent="0.35">
      <c r="A40" s="76">
        <f>+A38+1</f>
        <v>2044</v>
      </c>
      <c r="B40" s="74">
        <f>B1/B2</f>
        <v>2675675.6756756757</v>
      </c>
      <c r="C40" s="74">
        <f>D40*B3</f>
        <v>2022810.8108108109</v>
      </c>
      <c r="D40" s="74">
        <f>D38 - B38</f>
        <v>56189189.189189196</v>
      </c>
      <c r="E40" s="74">
        <f>B40+C40</f>
        <v>4698486.4864864871</v>
      </c>
      <c r="F40">
        <f>'Property Tax Calc'!E6</f>
        <v>0</v>
      </c>
      <c r="G40" s="43">
        <f t="shared" si="2"/>
        <v>4698486.4864864871</v>
      </c>
      <c r="I40" s="43">
        <f>U40</f>
        <v>3159470.9832739676</v>
      </c>
      <c r="J40" s="193">
        <f>(((E40*0.5)*0.025) +(E40*0.5))</f>
        <v>2407974.3243243247</v>
      </c>
      <c r="K40" s="193">
        <f>J40*0.025 + J40</f>
        <v>2468173.6824324327</v>
      </c>
      <c r="L40" s="193">
        <f>K40*0.025 + K40</f>
        <v>2529878.0244932435</v>
      </c>
      <c r="M40" s="193">
        <f t="shared" si="1"/>
        <v>2593124.9751055748</v>
      </c>
      <c r="N40" s="193">
        <f t="shared" si="1"/>
        <v>2657953.0994832143</v>
      </c>
      <c r="O40" s="193">
        <f t="shared" si="1"/>
        <v>2724401.9269702947</v>
      </c>
      <c r="P40" s="193">
        <f t="shared" si="1"/>
        <v>2792511.9751445521</v>
      </c>
      <c r="Q40" s="193">
        <f t="shared" si="1"/>
        <v>2862324.774523166</v>
      </c>
      <c r="R40" s="193">
        <f t="shared" si="1"/>
        <v>2933882.8938862453</v>
      </c>
      <c r="S40" s="193">
        <f t="shared" si="1"/>
        <v>3007229.9662334016</v>
      </c>
      <c r="T40" s="193">
        <f t="shared" si="1"/>
        <v>3082410.7153892368</v>
      </c>
      <c r="U40" s="193">
        <f t="shared" si="1"/>
        <v>3159470.9832739676</v>
      </c>
    </row>
    <row r="41" spans="1:21" x14ac:dyDescent="0.35">
      <c r="A41" s="76"/>
      <c r="B41" s="74"/>
      <c r="C41" s="74"/>
      <c r="D41" s="74"/>
      <c r="E41" s="74"/>
      <c r="G41" s="43"/>
      <c r="I41" s="43"/>
    </row>
    <row r="42" spans="1:21" x14ac:dyDescent="0.35">
      <c r="A42" s="76">
        <f>+A40+1</f>
        <v>2045</v>
      </c>
      <c r="B42" s="74">
        <f>B1/B2</f>
        <v>2675675.6756756757</v>
      </c>
      <c r="C42" s="74">
        <f>D42*B3</f>
        <v>1926486.4864864866</v>
      </c>
      <c r="D42" s="74">
        <f>D40 - B40</f>
        <v>53513513.51351352</v>
      </c>
      <c r="E42" s="74">
        <f>B42+C42</f>
        <v>4602162.1621621624</v>
      </c>
      <c r="F42">
        <f>'Property Tax Calc'!E6</f>
        <v>0</v>
      </c>
      <c r="G42" s="43">
        <f t="shared" si="2"/>
        <v>4602162.1621621624</v>
      </c>
      <c r="I42" s="43">
        <f>U42</f>
        <v>3094698.2296305369</v>
      </c>
      <c r="J42" s="193">
        <f>(((E42*0.5)*0.025) +(E42*0.5))</f>
        <v>2358608.1081081084</v>
      </c>
      <c r="K42" s="193">
        <f>J42*0.025 + J42</f>
        <v>2417573.3108108109</v>
      </c>
      <c r="L42" s="193">
        <f>K42*0.025 + K42</f>
        <v>2478012.6435810812</v>
      </c>
      <c r="M42" s="193">
        <f t="shared" si="1"/>
        <v>2539962.9596706084</v>
      </c>
      <c r="N42" s="193">
        <f t="shared" si="1"/>
        <v>2603462.0336623737</v>
      </c>
      <c r="O42" s="193">
        <f t="shared" si="1"/>
        <v>2668548.5845039329</v>
      </c>
      <c r="P42" s="193">
        <f t="shared" si="1"/>
        <v>2735262.2991165314</v>
      </c>
      <c r="Q42" s="193">
        <f t="shared" si="1"/>
        <v>2803643.8565944447</v>
      </c>
      <c r="R42" s="193">
        <f t="shared" si="1"/>
        <v>2873734.953009306</v>
      </c>
      <c r="S42" s="193">
        <f t="shared" si="1"/>
        <v>2945578.3268345385</v>
      </c>
      <c r="T42" s="193">
        <f t="shared" si="1"/>
        <v>3019217.7850054018</v>
      </c>
      <c r="U42" s="193">
        <f t="shared" si="1"/>
        <v>3094698.2296305369</v>
      </c>
    </row>
    <row r="43" spans="1:21" x14ac:dyDescent="0.35">
      <c r="A43" s="76"/>
      <c r="B43" s="74"/>
      <c r="C43" s="74"/>
      <c r="D43" s="74"/>
      <c r="E43" s="74"/>
      <c r="G43" s="43"/>
      <c r="I43" s="43"/>
    </row>
    <row r="44" spans="1:21" x14ac:dyDescent="0.35">
      <c r="A44" s="76">
        <f>+A42+1</f>
        <v>2046</v>
      </c>
      <c r="B44" s="74">
        <f>B1/B2</f>
        <v>2675675.6756756757</v>
      </c>
      <c r="C44" s="74">
        <f>D44*B3</f>
        <v>1830162.1621621624</v>
      </c>
      <c r="D44" s="74">
        <f>D42 - B42</f>
        <v>50837837.837837845</v>
      </c>
      <c r="E44" s="74">
        <f>B44+C44</f>
        <v>4505837.8378378376</v>
      </c>
      <c r="F44">
        <f>'Property Tax Calc'!E6</f>
        <v>0</v>
      </c>
      <c r="G44" s="43">
        <f t="shared" si="2"/>
        <v>4505837.8378378376</v>
      </c>
      <c r="I44" s="43">
        <f>U44</f>
        <v>3029925.475987107</v>
      </c>
      <c r="J44" s="193">
        <f>(((E44*0.5)*0.025) +(E44*0.5))</f>
        <v>2309241.8918918916</v>
      </c>
      <c r="K44" s="193">
        <f>J44*0.025 + J44</f>
        <v>2366972.9391891891</v>
      </c>
      <c r="L44" s="193">
        <f>K44*0.025 + K44</f>
        <v>2426147.2626689188</v>
      </c>
      <c r="M44" s="193">
        <f t="shared" si="1"/>
        <v>2486800.944235642</v>
      </c>
      <c r="N44" s="193">
        <f t="shared" si="1"/>
        <v>2548970.967841533</v>
      </c>
      <c r="O44" s="193">
        <f t="shared" si="1"/>
        <v>2612695.2420375715</v>
      </c>
      <c r="P44" s="193">
        <f t="shared" si="1"/>
        <v>2678012.6230885107</v>
      </c>
      <c r="Q44" s="193">
        <f t="shared" si="1"/>
        <v>2744962.9386657234</v>
      </c>
      <c r="R44" s="193">
        <f t="shared" si="1"/>
        <v>2813587.0121323667</v>
      </c>
      <c r="S44" s="193">
        <f t="shared" si="1"/>
        <v>2883926.6874356759</v>
      </c>
      <c r="T44" s="193">
        <f t="shared" si="1"/>
        <v>2956024.8546215678</v>
      </c>
      <c r="U44" s="193">
        <f t="shared" si="1"/>
        <v>3029925.475987107</v>
      </c>
    </row>
    <row r="45" spans="1:21" x14ac:dyDescent="0.35">
      <c r="A45" s="76"/>
      <c r="B45" s="74"/>
      <c r="C45" s="74"/>
      <c r="D45" s="74"/>
      <c r="E45" s="74"/>
      <c r="G45" s="43"/>
      <c r="I45" s="43"/>
    </row>
    <row r="46" spans="1:21" x14ac:dyDescent="0.35">
      <c r="A46" s="76">
        <f>+A44+1</f>
        <v>2047</v>
      </c>
      <c r="B46" s="74">
        <f>B1/B2</f>
        <v>2675675.6756756757</v>
      </c>
      <c r="C46" s="74">
        <f>D46*B3</f>
        <v>1733837.8378378379</v>
      </c>
      <c r="D46" s="74">
        <f>D44 - B44</f>
        <v>48162162.16216217</v>
      </c>
      <c r="E46" s="74">
        <f>B46+C46</f>
        <v>4409513.5135135138</v>
      </c>
      <c r="F46">
        <f>'Property Tax Calc'!E6</f>
        <v>0</v>
      </c>
      <c r="G46" s="43">
        <f t="shared" si="2"/>
        <v>4409513.5135135138</v>
      </c>
      <c r="I46" s="43">
        <f>U46</f>
        <v>2965152.7223436772</v>
      </c>
      <c r="J46" s="193">
        <f>(((E46*0.5)*0.025) +(E46*0.5))</f>
        <v>2259875.6756756757</v>
      </c>
      <c r="K46" s="193">
        <f>J46*0.025 + J46</f>
        <v>2316372.5675675678</v>
      </c>
      <c r="L46" s="193">
        <f>K46*0.025 + K46</f>
        <v>2374281.8817567569</v>
      </c>
      <c r="M46" s="193">
        <f t="shared" si="1"/>
        <v>2433638.928800676</v>
      </c>
      <c r="N46" s="193">
        <f t="shared" si="1"/>
        <v>2494479.9020206928</v>
      </c>
      <c r="O46" s="193">
        <f t="shared" si="1"/>
        <v>2556841.8995712101</v>
      </c>
      <c r="P46" s="193">
        <f t="shared" si="1"/>
        <v>2620762.9470604905</v>
      </c>
      <c r="Q46" s="193">
        <f t="shared" si="1"/>
        <v>2686282.0207370026</v>
      </c>
      <c r="R46" s="193">
        <f t="shared" si="1"/>
        <v>2753439.0712554278</v>
      </c>
      <c r="S46" s="193">
        <f t="shared" si="1"/>
        <v>2822275.0480368133</v>
      </c>
      <c r="T46" s="193">
        <f t="shared" si="1"/>
        <v>2892831.9242377337</v>
      </c>
      <c r="U46" s="193">
        <f t="shared" si="1"/>
        <v>2965152.7223436772</v>
      </c>
    </row>
    <row r="47" spans="1:21" x14ac:dyDescent="0.35">
      <c r="A47" s="76"/>
      <c r="B47" s="74"/>
      <c r="C47" s="74"/>
      <c r="D47" s="74"/>
      <c r="E47" s="74"/>
      <c r="G47" s="43"/>
    </row>
    <row r="48" spans="1:21" x14ac:dyDescent="0.35">
      <c r="A48" s="76">
        <f>+A46+1</f>
        <v>2048</v>
      </c>
      <c r="B48" s="74">
        <f>IF(B2&gt;20, B1/B2, 0)</f>
        <v>2675675.6756756757</v>
      </c>
      <c r="C48" s="74">
        <f>D48*B3</f>
        <v>1637513.5135135136</v>
      </c>
      <c r="D48" s="74">
        <f>D46 - B46</f>
        <v>45486486.486486495</v>
      </c>
      <c r="E48" s="74">
        <f>B48+C48</f>
        <v>4313189.1891891891</v>
      </c>
      <c r="F48">
        <f>'Property Tax Calc'!E6</f>
        <v>0</v>
      </c>
      <c r="G48" s="43">
        <f t="shared" si="2"/>
        <v>4313189.1891891891</v>
      </c>
      <c r="I48" s="43">
        <f>U48</f>
        <v>2900379.968700246</v>
      </c>
      <c r="J48" s="193">
        <f>(((E48*0.5)*0.025) +(E48*0.5))</f>
        <v>2210509.4594594594</v>
      </c>
      <c r="K48" s="193">
        <f>J48*0.025 + J48</f>
        <v>2265772.195945946</v>
      </c>
      <c r="L48" s="193">
        <f>K48*0.025 + K48</f>
        <v>2322416.5008445946</v>
      </c>
      <c r="M48" s="193">
        <f t="shared" si="1"/>
        <v>2380476.9133657096</v>
      </c>
      <c r="N48" s="193">
        <f t="shared" si="1"/>
        <v>2439988.8361998522</v>
      </c>
      <c r="O48" s="193">
        <f t="shared" si="1"/>
        <v>2500988.5571048483</v>
      </c>
      <c r="P48" s="193">
        <f t="shared" si="1"/>
        <v>2563513.2710324693</v>
      </c>
      <c r="Q48" s="193">
        <f t="shared" si="1"/>
        <v>2627601.1028082808</v>
      </c>
      <c r="R48" s="193">
        <f t="shared" si="1"/>
        <v>2693291.130378488</v>
      </c>
      <c r="S48" s="193">
        <f t="shared" si="1"/>
        <v>2760623.4086379502</v>
      </c>
      <c r="T48" s="193">
        <f t="shared" si="1"/>
        <v>2829638.9938538987</v>
      </c>
      <c r="U48" s="193">
        <f t="shared" si="1"/>
        <v>2900379.968700246</v>
      </c>
    </row>
    <row r="49" spans="1:21" x14ac:dyDescent="0.35">
      <c r="A49" s="76"/>
      <c r="B49" s="74"/>
      <c r="C49" s="74"/>
      <c r="D49" s="74"/>
      <c r="E49" s="74"/>
      <c r="G49" s="43"/>
    </row>
    <row r="50" spans="1:21" x14ac:dyDescent="0.35">
      <c r="A50" s="76">
        <f>+A48+1</f>
        <v>2049</v>
      </c>
      <c r="B50" s="74">
        <f>IF(B2&gt;21, B1/B2, 0)</f>
        <v>2675675.6756756757</v>
      </c>
      <c r="C50" s="74">
        <f>D50*B3</f>
        <v>1541189.1891891893</v>
      </c>
      <c r="D50" s="74">
        <f>D48 - B48</f>
        <v>42810810.810810819</v>
      </c>
      <c r="E50" s="74">
        <f>B50+C50</f>
        <v>4216864.8648648653</v>
      </c>
      <c r="F50">
        <f>'Property Tax Calc'!E6</f>
        <v>0</v>
      </c>
      <c r="G50" s="43">
        <f t="shared" si="2"/>
        <v>4216864.8648648653</v>
      </c>
      <c r="I50" s="43">
        <f>U50</f>
        <v>2835607.215056818</v>
      </c>
      <c r="J50" s="193">
        <f>(((E50*0.5)*0.025) +(E50*0.5))</f>
        <v>2161143.2432432435</v>
      </c>
      <c r="K50" s="193">
        <f>J50*0.025 + J50</f>
        <v>2215171.8243243247</v>
      </c>
      <c r="L50" s="193">
        <f>K50*0.025 + K50</f>
        <v>2270551.1199324327</v>
      </c>
      <c r="M50" s="193">
        <f t="shared" si="1"/>
        <v>2327314.8979307436</v>
      </c>
      <c r="N50" s="193">
        <f t="shared" si="1"/>
        <v>2385497.7703790125</v>
      </c>
      <c r="O50" s="193">
        <f t="shared" si="1"/>
        <v>2445135.2146384879</v>
      </c>
      <c r="P50" s="193">
        <f t="shared" si="1"/>
        <v>2506263.5950044501</v>
      </c>
      <c r="Q50" s="193">
        <f t="shared" si="1"/>
        <v>2568920.1848795614</v>
      </c>
      <c r="R50" s="193">
        <f t="shared" si="1"/>
        <v>2633143.1895015505</v>
      </c>
      <c r="S50" s="193">
        <f t="shared" si="1"/>
        <v>2698971.7692390895</v>
      </c>
      <c r="T50" s="193">
        <f t="shared" si="1"/>
        <v>2766446.0634700665</v>
      </c>
      <c r="U50" s="193">
        <f t="shared" si="1"/>
        <v>2835607.215056818</v>
      </c>
    </row>
    <row r="51" spans="1:21" x14ac:dyDescent="0.35">
      <c r="A51" s="76"/>
      <c r="B51" s="74"/>
      <c r="C51" s="74"/>
      <c r="D51" s="74"/>
      <c r="E51" s="74"/>
      <c r="G51" s="43"/>
    </row>
    <row r="52" spans="1:21" x14ac:dyDescent="0.35">
      <c r="A52" s="76">
        <f>+A50+1</f>
        <v>2050</v>
      </c>
      <c r="B52" s="74">
        <f>IF(B2&gt;22, B1/B2, 0)</f>
        <v>2675675.6756756757</v>
      </c>
      <c r="C52" s="74">
        <f>D52*B3</f>
        <v>1444864.8648648651</v>
      </c>
      <c r="D52" s="74">
        <f>D50 - B50</f>
        <v>40135135.135135144</v>
      </c>
      <c r="E52" s="74">
        <f>B52+C52</f>
        <v>4120540.5405405406</v>
      </c>
      <c r="F52">
        <f>'Property Tax Calc'!E6</f>
        <v>0</v>
      </c>
      <c r="G52" s="43">
        <f t="shared" si="2"/>
        <v>4120540.5405405406</v>
      </c>
      <c r="I52" s="43">
        <f>U52</f>
        <v>2770834.4614133877</v>
      </c>
      <c r="J52" s="193">
        <f>(((E52*0.5)*0.025) +(E52*0.5))</f>
        <v>2111777.0270270272</v>
      </c>
      <c r="K52" s="193">
        <f>J52*0.025 + J52</f>
        <v>2164571.452702703</v>
      </c>
      <c r="L52" s="193">
        <f>K52*0.025 + K52</f>
        <v>2218685.7390202703</v>
      </c>
      <c r="M52" s="193">
        <f t="shared" si="1"/>
        <v>2274152.8824957772</v>
      </c>
      <c r="N52" s="193">
        <f t="shared" si="1"/>
        <v>2331006.7045581718</v>
      </c>
      <c r="O52" s="193">
        <f t="shared" si="1"/>
        <v>2389281.8721721261</v>
      </c>
      <c r="P52" s="193">
        <f t="shared" si="1"/>
        <v>2449013.9189764294</v>
      </c>
      <c r="Q52" s="193">
        <f t="shared" si="1"/>
        <v>2510239.2669508401</v>
      </c>
      <c r="R52" s="193">
        <f t="shared" si="1"/>
        <v>2572995.2486246112</v>
      </c>
      <c r="S52" s="193">
        <f t="shared" si="1"/>
        <v>2637320.1298402264</v>
      </c>
      <c r="T52" s="193">
        <f t="shared" si="1"/>
        <v>2703253.133086232</v>
      </c>
      <c r="U52" s="193">
        <f t="shared" si="1"/>
        <v>2770834.4614133877</v>
      </c>
    </row>
    <row r="53" spans="1:21" x14ac:dyDescent="0.35">
      <c r="A53" s="76"/>
      <c r="B53" s="74"/>
      <c r="C53" s="74"/>
      <c r="D53" s="74"/>
      <c r="E53" s="74"/>
      <c r="G53" s="43"/>
    </row>
    <row r="54" spans="1:21" x14ac:dyDescent="0.35">
      <c r="A54" s="76">
        <f>+A52+1</f>
        <v>2051</v>
      </c>
      <c r="B54" s="74">
        <f>IF(B2&gt;23, B1/B2, 0)</f>
        <v>2675675.6756756757</v>
      </c>
      <c r="C54" s="74">
        <f>D54*B3</f>
        <v>1348540.5405405408</v>
      </c>
      <c r="D54" s="74">
        <f>D52 - B52</f>
        <v>37459459.459459469</v>
      </c>
      <c r="E54" s="74">
        <f>B54+C54</f>
        <v>4024216.2162162168</v>
      </c>
      <c r="F54">
        <f>'Property Tax Calc'!E6</f>
        <v>0</v>
      </c>
      <c r="G54" s="43">
        <f t="shared" si="2"/>
        <v>4024216.2162162168</v>
      </c>
      <c r="I54" s="43">
        <f>U54</f>
        <v>2706061.7077699578</v>
      </c>
      <c r="J54" s="193">
        <f>(((E54*0.5)*0.025) +(E54*0.5))</f>
        <v>2062410.8108108111</v>
      </c>
      <c r="K54" s="193">
        <f>J54*0.025 + J54</f>
        <v>2113971.0810810812</v>
      </c>
      <c r="L54" s="193">
        <f>K54*0.025 + K54</f>
        <v>2166820.3581081084</v>
      </c>
      <c r="M54" s="193">
        <f t="shared" si="1"/>
        <v>2220990.8670608113</v>
      </c>
      <c r="N54" s="193">
        <f t="shared" si="1"/>
        <v>2276515.6387373316</v>
      </c>
      <c r="O54" s="193">
        <f t="shared" si="1"/>
        <v>2333428.5297057647</v>
      </c>
      <c r="P54" s="193">
        <f t="shared" si="1"/>
        <v>2391764.2429484087</v>
      </c>
      <c r="Q54" s="193">
        <f t="shared" si="1"/>
        <v>2451558.3490221188</v>
      </c>
      <c r="R54" s="193">
        <f t="shared" si="1"/>
        <v>2512847.3077476718</v>
      </c>
      <c r="S54" s="193">
        <f t="shared" si="1"/>
        <v>2575668.4904413638</v>
      </c>
      <c r="T54" s="193">
        <f t="shared" si="1"/>
        <v>2640060.2027023979</v>
      </c>
      <c r="U54" s="193">
        <f t="shared" si="1"/>
        <v>2706061.7077699578</v>
      </c>
    </row>
    <row r="55" spans="1:21" x14ac:dyDescent="0.35">
      <c r="A55" s="76"/>
      <c r="B55" s="74"/>
      <c r="C55" s="74"/>
      <c r="D55" s="74"/>
      <c r="E55" s="74"/>
      <c r="G55" s="43"/>
    </row>
    <row r="56" spans="1:21" x14ac:dyDescent="0.35">
      <c r="A56" s="76">
        <f>+A54+1</f>
        <v>2052</v>
      </c>
      <c r="B56" s="74">
        <f>IF(B2&gt;24, B1/B2, 0)</f>
        <v>2675675.6756756757</v>
      </c>
      <c r="C56" s="74">
        <f>D56*B3</f>
        <v>1252216.2162162166</v>
      </c>
      <c r="D56" s="74">
        <f>D54 - B54</f>
        <v>34783783.783783793</v>
      </c>
      <c r="E56" s="74">
        <f>B56+C56</f>
        <v>3927891.8918918921</v>
      </c>
      <c r="F56">
        <f>'Property Tax Calc'!E6</f>
        <v>0</v>
      </c>
      <c r="G56" s="43">
        <f t="shared" si="2"/>
        <v>3927891.8918918921</v>
      </c>
      <c r="I56" s="43">
        <f>U56</f>
        <v>2641288.954126528</v>
      </c>
      <c r="J56" s="193">
        <f>(((E56*0.5)*0.025) +(E56*0.5))</f>
        <v>2013044.5945945948</v>
      </c>
      <c r="K56" s="193">
        <f>J56*0.025 + J56</f>
        <v>2063370.7094594596</v>
      </c>
      <c r="L56" s="193">
        <f>K56*0.025 + K56</f>
        <v>2114954.977195946</v>
      </c>
      <c r="M56" s="193">
        <f t="shared" si="1"/>
        <v>2167828.8516258448</v>
      </c>
      <c r="N56" s="193">
        <f t="shared" si="1"/>
        <v>2222024.572916491</v>
      </c>
      <c r="O56" s="193">
        <f t="shared" si="1"/>
        <v>2277575.1872394034</v>
      </c>
      <c r="P56" s="193">
        <f t="shared" si="1"/>
        <v>2334514.5669203885</v>
      </c>
      <c r="Q56" s="193">
        <f t="shared" si="1"/>
        <v>2392877.431093398</v>
      </c>
      <c r="R56" s="193">
        <f t="shared" si="1"/>
        <v>2452699.366870733</v>
      </c>
      <c r="S56" s="193">
        <f t="shared" si="1"/>
        <v>2514016.8510425012</v>
      </c>
      <c r="T56" s="193">
        <f t="shared" si="1"/>
        <v>2576867.2723185639</v>
      </c>
      <c r="U56" s="193">
        <f t="shared" si="1"/>
        <v>2641288.954126528</v>
      </c>
    </row>
    <row r="57" spans="1:21" x14ac:dyDescent="0.35">
      <c r="A57" s="76"/>
      <c r="B57" s="74"/>
      <c r="C57" s="74"/>
      <c r="D57" s="74"/>
      <c r="E57" s="74"/>
      <c r="G57" s="43"/>
    </row>
    <row r="58" spans="1:21" x14ac:dyDescent="0.35">
      <c r="A58" s="76">
        <f>+A56+1</f>
        <v>2053</v>
      </c>
      <c r="B58" s="74">
        <f>IF(B2&gt;25, B1/B2, 0)</f>
        <v>2675675.6756756757</v>
      </c>
      <c r="C58" s="74">
        <f>D58*B3</f>
        <v>1155891.8918918921</v>
      </c>
      <c r="D58" s="74">
        <f>D56 - B56</f>
        <v>32108108.108108118</v>
      </c>
      <c r="E58" s="74">
        <f>B58+C58</f>
        <v>3831567.5675675678</v>
      </c>
      <c r="F58">
        <f>'Property Tax Calc'!E6</f>
        <v>0</v>
      </c>
      <c r="G58" s="43">
        <f t="shared" si="2"/>
        <v>3831567.5675675678</v>
      </c>
      <c r="I58" s="43">
        <f>U58</f>
        <v>2576516.2004830982</v>
      </c>
      <c r="J58" s="193">
        <f>(((E58*0.5)*0.025) +(E58*0.5))</f>
        <v>1963678.3783783785</v>
      </c>
      <c r="K58" s="193">
        <f>J58*0.025 + J58</f>
        <v>2012770.3378378379</v>
      </c>
      <c r="L58" s="193">
        <f>K58*0.025 + K58</f>
        <v>2063089.5962837839</v>
      </c>
      <c r="M58" s="193">
        <f t="shared" si="1"/>
        <v>2114666.8361908784</v>
      </c>
      <c r="N58" s="193">
        <f t="shared" si="1"/>
        <v>2167533.5070956503</v>
      </c>
      <c r="O58" s="193">
        <f t="shared" si="1"/>
        <v>2221721.8447730416</v>
      </c>
      <c r="P58" s="193">
        <f t="shared" si="1"/>
        <v>2277264.8908923678</v>
      </c>
      <c r="Q58" s="193">
        <f t="shared" si="1"/>
        <v>2334196.5131646772</v>
      </c>
      <c r="R58" s="193">
        <f t="shared" si="1"/>
        <v>2392551.4259937941</v>
      </c>
      <c r="S58" s="193">
        <f t="shared" si="1"/>
        <v>2452365.211643639</v>
      </c>
      <c r="T58" s="193">
        <f t="shared" si="1"/>
        <v>2513674.3419347298</v>
      </c>
      <c r="U58" s="193">
        <f t="shared" si="1"/>
        <v>2576516.2004830982</v>
      </c>
    </row>
    <row r="59" spans="1:21" x14ac:dyDescent="0.35">
      <c r="A59" s="76"/>
      <c r="B59" s="74" t="s">
        <v>222</v>
      </c>
      <c r="C59" s="74"/>
      <c r="D59" s="74"/>
      <c r="E59" s="74"/>
      <c r="G59" s="43"/>
    </row>
    <row r="60" spans="1:21" x14ac:dyDescent="0.35">
      <c r="A60" s="76">
        <f>+A58+1</f>
        <v>2054</v>
      </c>
      <c r="B60" s="74">
        <f>IF(B2&gt;26, B1/B2, 0)</f>
        <v>2675675.6756756757</v>
      </c>
      <c r="C60" s="74">
        <f>D60*B3</f>
        <v>1059567.5675675678</v>
      </c>
      <c r="D60" s="74">
        <f>D58 - B58</f>
        <v>29432432.432432443</v>
      </c>
      <c r="E60" s="74">
        <f>B60+C60</f>
        <v>3735243.2432432435</v>
      </c>
      <c r="F60">
        <f>'Property Tax Calc'!E6</f>
        <v>0</v>
      </c>
      <c r="G60" s="43">
        <f t="shared" si="2"/>
        <v>3735243.2432432435</v>
      </c>
      <c r="I60" s="43">
        <f>U60</f>
        <v>2511743.4468396679</v>
      </c>
      <c r="J60" s="193">
        <f>(((E60*0.5)*0.025) +(E60*0.5))</f>
        <v>1914312.1621621624</v>
      </c>
      <c r="K60" s="193">
        <f>J60*0.025 + J60</f>
        <v>1962169.9662162163</v>
      </c>
      <c r="L60" s="193">
        <f>K60*0.025 + K60</f>
        <v>2011224.2153716218</v>
      </c>
      <c r="M60" s="193">
        <f t="shared" si="1"/>
        <v>2061504.8207559122</v>
      </c>
      <c r="N60" s="193">
        <f t="shared" si="1"/>
        <v>2113042.4412748101</v>
      </c>
      <c r="O60" s="193">
        <f t="shared" si="1"/>
        <v>2165868.5023066802</v>
      </c>
      <c r="P60" s="193">
        <f t="shared" si="1"/>
        <v>2220015.2148643471</v>
      </c>
      <c r="Q60" s="193">
        <f t="shared" si="1"/>
        <v>2275515.5952359559</v>
      </c>
      <c r="R60" s="193">
        <f t="shared" si="1"/>
        <v>2332403.4851168548</v>
      </c>
      <c r="S60" s="193">
        <f t="shared" si="1"/>
        <v>2390713.5722447759</v>
      </c>
      <c r="T60" s="193">
        <f t="shared" si="1"/>
        <v>2450481.4115508953</v>
      </c>
      <c r="U60" s="193">
        <f t="shared" si="1"/>
        <v>2511743.4468396679</v>
      </c>
    </row>
    <row r="61" spans="1:21" x14ac:dyDescent="0.35">
      <c r="A61" s="76"/>
      <c r="B61" s="74"/>
      <c r="C61" s="74"/>
      <c r="D61" s="74"/>
      <c r="E61" s="74"/>
      <c r="G61" s="43"/>
    </row>
    <row r="62" spans="1:21" x14ac:dyDescent="0.35">
      <c r="A62" s="76">
        <f>+A60+1</f>
        <v>2055</v>
      </c>
      <c r="B62" s="74">
        <f>IF(B2&gt;27, B1/B2, 0)</f>
        <v>2675675.6756756757</v>
      </c>
      <c r="C62" s="74">
        <f>D62*B3</f>
        <v>963243.24324324355</v>
      </c>
      <c r="D62" s="74">
        <f>D60 - B60</f>
        <v>26756756.756756768</v>
      </c>
      <c r="E62" s="74">
        <f>B62+C62</f>
        <v>3638918.9189189193</v>
      </c>
      <c r="F62">
        <f>'Property Tax Calc'!E6</f>
        <v>0</v>
      </c>
      <c r="G62" s="43">
        <f t="shared" si="2"/>
        <v>3638918.9189189193</v>
      </c>
      <c r="I62" s="43">
        <f>U62</f>
        <v>2446970.6931962385</v>
      </c>
      <c r="J62" s="193">
        <f>(((E62*0.5)*0.025) +(E62*0.5))</f>
        <v>1864945.945945946</v>
      </c>
      <c r="K62" s="193">
        <f>J62*0.025 + J62</f>
        <v>1911569.5945945948</v>
      </c>
      <c r="L62" s="193">
        <f>K62*0.025 + K62</f>
        <v>1959358.8344594596</v>
      </c>
      <c r="M62" s="193">
        <f t="shared" si="1"/>
        <v>2008342.805320946</v>
      </c>
      <c r="N62" s="193">
        <f t="shared" si="1"/>
        <v>2058551.3754539697</v>
      </c>
      <c r="O62" s="193">
        <f t="shared" si="1"/>
        <v>2110015.1598403188</v>
      </c>
      <c r="P62" s="193">
        <f t="shared" si="1"/>
        <v>2162765.5388363269</v>
      </c>
      <c r="Q62" s="193">
        <f t="shared" si="1"/>
        <v>2216834.6773072351</v>
      </c>
      <c r="R62" s="193">
        <f t="shared" si="1"/>
        <v>2272255.5442399159</v>
      </c>
      <c r="S62" s="193">
        <f t="shared" si="1"/>
        <v>2329061.9328459138</v>
      </c>
      <c r="T62" s="193">
        <f t="shared" si="1"/>
        <v>2387288.4811670617</v>
      </c>
      <c r="U62" s="193">
        <f t="shared" si="1"/>
        <v>2446970.6931962385</v>
      </c>
    </row>
    <row r="63" spans="1:21" x14ac:dyDescent="0.35">
      <c r="A63" s="76"/>
      <c r="B63" s="74"/>
      <c r="C63" s="74"/>
      <c r="D63" s="74"/>
      <c r="E63" s="74"/>
      <c r="G63" s="43"/>
    </row>
    <row r="64" spans="1:21" x14ac:dyDescent="0.35">
      <c r="A64" s="76">
        <f>+A62+1</f>
        <v>2056</v>
      </c>
      <c r="B64" s="74">
        <f>IF(B2&gt;28, B1/B2, 0)</f>
        <v>2675675.6756756757</v>
      </c>
      <c r="C64" s="74">
        <f>D64*B3</f>
        <v>866918.91891891928</v>
      </c>
      <c r="D64" s="74">
        <f>D62 - B62</f>
        <v>24081081.081081092</v>
      </c>
      <c r="E64" s="74">
        <f>B64+C64</f>
        <v>3542594.594594595</v>
      </c>
      <c r="F64">
        <f>'Property Tax Calc'!E6</f>
        <v>0</v>
      </c>
      <c r="G64" s="43">
        <f t="shared" si="2"/>
        <v>3542594.594594595</v>
      </c>
      <c r="I64" s="43">
        <f>U64</f>
        <v>2382197.9395528082</v>
      </c>
      <c r="J64" s="193">
        <f>(((E64*0.5)*0.025) +(E64*0.5))</f>
        <v>1815579.7297297299</v>
      </c>
      <c r="K64" s="193">
        <f>J64*0.025 + J64</f>
        <v>1860969.2229729732</v>
      </c>
      <c r="L64" s="193">
        <f>K64*0.025 + K64</f>
        <v>1907493.4535472975</v>
      </c>
      <c r="M64" s="193">
        <f t="shared" si="1"/>
        <v>1955180.7898859798</v>
      </c>
      <c r="N64" s="193">
        <f t="shared" si="1"/>
        <v>2004060.3096331293</v>
      </c>
      <c r="O64" s="193">
        <f t="shared" si="1"/>
        <v>2054161.8173739575</v>
      </c>
      <c r="P64" s="193">
        <f t="shared" ref="P64:U64" si="3">O64*0.025 + O64</f>
        <v>2105515.8628083062</v>
      </c>
      <c r="Q64" s="193">
        <f t="shared" si="3"/>
        <v>2158153.7593785138</v>
      </c>
      <c r="R64" s="193">
        <f t="shared" si="3"/>
        <v>2212107.6033629766</v>
      </c>
      <c r="S64" s="193">
        <f t="shared" si="3"/>
        <v>2267410.2934470512</v>
      </c>
      <c r="T64" s="193">
        <f t="shared" si="3"/>
        <v>2324095.5507832277</v>
      </c>
      <c r="U64" s="193">
        <f t="shared" si="3"/>
        <v>2382197.9395528082</v>
      </c>
    </row>
    <row r="65" spans="1:21" x14ac:dyDescent="0.35">
      <c r="A65" s="76"/>
      <c r="B65" s="74"/>
      <c r="C65" s="74"/>
      <c r="D65" s="74"/>
      <c r="E65" s="74"/>
      <c r="G65" s="43"/>
    </row>
    <row r="66" spans="1:21" x14ac:dyDescent="0.35">
      <c r="A66" s="76">
        <f>+A64+1</f>
        <v>2057</v>
      </c>
      <c r="B66" s="74">
        <f>IF(B2&gt;29, B1/B2, 0)</f>
        <v>2675675.6756756757</v>
      </c>
      <c r="C66" s="74">
        <f>D66*B3</f>
        <v>770594.59459459491</v>
      </c>
      <c r="D66" s="74">
        <f>D64 - B64</f>
        <v>21405405.405405417</v>
      </c>
      <c r="E66" s="74">
        <f>B66+C66</f>
        <v>3446270.2702702708</v>
      </c>
      <c r="F66">
        <f>'Property Tax Calc'!E6</f>
        <v>0</v>
      </c>
      <c r="G66" s="43">
        <f t="shared" si="2"/>
        <v>3446270.2702702708</v>
      </c>
      <c r="I66" s="43">
        <f>U66</f>
        <v>2317425.1859093788</v>
      </c>
      <c r="J66" s="193">
        <f>(((E66*0.5)*0.025) +(E66*0.5))</f>
        <v>1766213.5135135138</v>
      </c>
      <c r="K66" s="193">
        <f>J66*0.025 + J66</f>
        <v>1810368.8513513517</v>
      </c>
      <c r="L66" s="193">
        <f>K66*0.025 + K66</f>
        <v>1855628.0726351356</v>
      </c>
      <c r="M66" s="193">
        <f t="shared" ref="M66:U66" si="4">L66*0.025 + L66</f>
        <v>1902018.7744510141</v>
      </c>
      <c r="N66" s="193">
        <f t="shared" si="4"/>
        <v>1949569.2438122896</v>
      </c>
      <c r="O66" s="193">
        <f t="shared" si="4"/>
        <v>1998308.4749075968</v>
      </c>
      <c r="P66" s="193">
        <f t="shared" si="4"/>
        <v>2048266.1867802867</v>
      </c>
      <c r="Q66" s="193">
        <f t="shared" si="4"/>
        <v>2099472.8414497939</v>
      </c>
      <c r="R66" s="193">
        <f t="shared" si="4"/>
        <v>2151959.6624860386</v>
      </c>
      <c r="S66" s="193">
        <f t="shared" si="4"/>
        <v>2205758.6540481895</v>
      </c>
      <c r="T66" s="193">
        <f t="shared" si="4"/>
        <v>2260902.6203993941</v>
      </c>
      <c r="U66" s="193">
        <f t="shared" si="4"/>
        <v>2317425.1859093788</v>
      </c>
    </row>
    <row r="67" spans="1:21" x14ac:dyDescent="0.35">
      <c r="A67" s="186"/>
      <c r="B67" s="74"/>
      <c r="C67" s="74"/>
      <c r="D67" s="74"/>
      <c r="E67" s="74"/>
      <c r="G67" s="43"/>
    </row>
    <row r="68" spans="1:21" x14ac:dyDescent="0.35">
      <c r="A68" s="186">
        <f>+A66+1</f>
        <v>2058</v>
      </c>
      <c r="B68" s="74">
        <f>IF(B2&gt;30, B1/B2, 0)</f>
        <v>2675675.6756756757</v>
      </c>
      <c r="C68" s="74">
        <f>D68*B3</f>
        <v>674270.27027027064</v>
      </c>
      <c r="D68" s="74">
        <f>D66 - B66</f>
        <v>18729729.729729742</v>
      </c>
      <c r="E68" s="74">
        <f>B68+C68</f>
        <v>3349945.9459459465</v>
      </c>
      <c r="F68">
        <f>'Property Tax Calc'!E6</f>
        <v>0</v>
      </c>
      <c r="G68" s="43">
        <f t="shared" si="2"/>
        <v>3349945.9459459465</v>
      </c>
      <c r="I68" s="43">
        <f>U68</f>
        <v>2252652.432265949</v>
      </c>
      <c r="J68" s="193">
        <f>(((E68*0.5)*0.025) +(E68*0.5))</f>
        <v>1716847.2972972975</v>
      </c>
      <c r="K68" s="193">
        <f>J68*0.025 + J68</f>
        <v>1759768.4797297299</v>
      </c>
      <c r="L68" s="193">
        <f>K68*0.025 + K68</f>
        <v>1803762.6917229732</v>
      </c>
      <c r="M68" s="193">
        <f t="shared" ref="M68:U68" si="5">L68*0.025 + L68</f>
        <v>1848856.7590160477</v>
      </c>
      <c r="N68" s="193">
        <f t="shared" si="5"/>
        <v>1895078.1779914489</v>
      </c>
      <c r="O68" s="193">
        <f t="shared" si="5"/>
        <v>1942455.1324412352</v>
      </c>
      <c r="P68" s="193">
        <f t="shared" si="5"/>
        <v>1991016.510752266</v>
      </c>
      <c r="Q68" s="193">
        <f t="shared" si="5"/>
        <v>2040791.9235210726</v>
      </c>
      <c r="R68" s="193">
        <f t="shared" si="5"/>
        <v>2091811.7216090993</v>
      </c>
      <c r="S68" s="193">
        <f t="shared" si="5"/>
        <v>2144107.0146493269</v>
      </c>
      <c r="T68" s="193">
        <f t="shared" si="5"/>
        <v>2197709.69001556</v>
      </c>
      <c r="U68" s="193">
        <f t="shared" si="5"/>
        <v>2252652.432265949</v>
      </c>
    </row>
    <row r="69" spans="1:21" x14ac:dyDescent="0.35">
      <c r="A69" s="186"/>
      <c r="B69" s="74"/>
      <c r="C69" s="74"/>
      <c r="D69" s="74"/>
      <c r="E69" s="74"/>
      <c r="G69" s="43"/>
    </row>
    <row r="70" spans="1:21" x14ac:dyDescent="0.35">
      <c r="A70" s="186">
        <f>+A68+1</f>
        <v>2059</v>
      </c>
      <c r="B70" s="74">
        <f>IF(B2&gt;31, B1/B2, 0)</f>
        <v>2675675.6756756757</v>
      </c>
      <c r="C70" s="74">
        <f>D70*B3</f>
        <v>577945.94594594638</v>
      </c>
      <c r="D70" s="74">
        <f>D68 - B68</f>
        <v>16054054.054054067</v>
      </c>
      <c r="E70" s="74">
        <f>B70+C70</f>
        <v>3253621.6216216222</v>
      </c>
      <c r="F70">
        <f>'Property Tax Calc'!E6</f>
        <v>0</v>
      </c>
      <c r="G70" s="43">
        <f t="shared" si="2"/>
        <v>3253621.6216216222</v>
      </c>
      <c r="I70" s="43">
        <f>U70</f>
        <v>2187879.6786225196</v>
      </c>
      <c r="J70" s="193">
        <f>(((E70*0.5)*0.025) +(E70*0.5))</f>
        <v>1667481.0810810814</v>
      </c>
      <c r="K70" s="193">
        <f>J70*0.025 + J70</f>
        <v>1709168.1081081084</v>
      </c>
      <c r="L70" s="193">
        <f>K70*0.025 + K70</f>
        <v>1751897.3108108111</v>
      </c>
      <c r="M70" s="193">
        <f t="shared" ref="M70:U70" si="6">L70*0.025 + L70</f>
        <v>1795694.7435810815</v>
      </c>
      <c r="N70" s="193">
        <f t="shared" si="6"/>
        <v>1840587.1121706085</v>
      </c>
      <c r="O70" s="193">
        <f t="shared" si="6"/>
        <v>1886601.7899748737</v>
      </c>
      <c r="P70" s="193">
        <f t="shared" si="6"/>
        <v>1933766.8347242456</v>
      </c>
      <c r="Q70" s="193">
        <f t="shared" si="6"/>
        <v>1982111.0055923518</v>
      </c>
      <c r="R70" s="193">
        <f t="shared" si="6"/>
        <v>2031663.7807321607</v>
      </c>
      <c r="S70" s="193">
        <f t="shared" si="6"/>
        <v>2082455.3752504648</v>
      </c>
      <c r="T70" s="193">
        <f t="shared" si="6"/>
        <v>2134516.7596317264</v>
      </c>
      <c r="U70" s="193">
        <f t="shared" si="6"/>
        <v>2187879.6786225196</v>
      </c>
    </row>
    <row r="71" spans="1:21" x14ac:dyDescent="0.35">
      <c r="A71" s="186"/>
      <c r="B71" s="74"/>
      <c r="C71" s="74"/>
      <c r="D71" s="74"/>
      <c r="E71" s="74"/>
      <c r="G71" s="43"/>
    </row>
    <row r="72" spans="1:21" x14ac:dyDescent="0.35">
      <c r="A72" s="186">
        <f>+A70+1</f>
        <v>2060</v>
      </c>
      <c r="B72" s="74">
        <f>IF(B2&gt;32, B1/B2, 0)</f>
        <v>2675675.6756756757</v>
      </c>
      <c r="C72" s="74">
        <f>D72*B3</f>
        <v>481621.62162162206</v>
      </c>
      <c r="D72" s="74">
        <f>D70 - B70</f>
        <v>13378378.378378391</v>
      </c>
      <c r="E72" s="74">
        <f>B72+C72</f>
        <v>3157297.297297298</v>
      </c>
      <c r="F72">
        <f>'Property Tax Calc'!E6</f>
        <v>0</v>
      </c>
      <c r="G72" s="43">
        <f t="shared" si="2"/>
        <v>3157297.297297298</v>
      </c>
      <c r="I72" s="43">
        <f>U72</f>
        <v>2123106.9249790898</v>
      </c>
      <c r="J72" s="193">
        <f>(((E72*0.5)*0.025) +(E72*0.5))</f>
        <v>1618114.8648648653</v>
      </c>
      <c r="K72" s="193">
        <f>J72*0.025 + J72</f>
        <v>1658567.7364864869</v>
      </c>
      <c r="L72" s="193">
        <f>K72*0.025 + K72</f>
        <v>1700031.929898649</v>
      </c>
      <c r="M72" s="193">
        <f t="shared" ref="M72:U72" si="7">L72*0.025 + L72</f>
        <v>1742532.7281461153</v>
      </c>
      <c r="N72" s="193">
        <f t="shared" si="7"/>
        <v>1786096.0463497683</v>
      </c>
      <c r="O72" s="193">
        <f t="shared" si="7"/>
        <v>1830748.4475085125</v>
      </c>
      <c r="P72" s="193">
        <f t="shared" si="7"/>
        <v>1876517.1586962254</v>
      </c>
      <c r="Q72" s="193">
        <f t="shared" si="7"/>
        <v>1923430.087663631</v>
      </c>
      <c r="R72" s="193">
        <f t="shared" si="7"/>
        <v>1971515.8398552218</v>
      </c>
      <c r="S72" s="193">
        <f t="shared" si="7"/>
        <v>2020803.7358516024</v>
      </c>
      <c r="T72" s="193">
        <f t="shared" si="7"/>
        <v>2071323.8292478924</v>
      </c>
      <c r="U72" s="193">
        <f t="shared" si="7"/>
        <v>2123106.9249790898</v>
      </c>
    </row>
    <row r="73" spans="1:21" x14ac:dyDescent="0.35">
      <c r="A73" s="186"/>
      <c r="B73" s="74"/>
      <c r="C73" s="74"/>
      <c r="D73" s="74"/>
      <c r="E73" s="74"/>
      <c r="G73" s="43"/>
    </row>
    <row r="74" spans="1:21" x14ac:dyDescent="0.35">
      <c r="A74" s="186">
        <f>+A72+1</f>
        <v>2061</v>
      </c>
      <c r="B74" s="74">
        <f>IF(B2&gt;33, B1/B2, 0)</f>
        <v>2675675.6756756757</v>
      </c>
      <c r="C74" s="74">
        <f>D74*B3</f>
        <v>385297.29729729774</v>
      </c>
      <c r="D74" s="74">
        <f>D72 - B72</f>
        <v>10702702.702702716</v>
      </c>
      <c r="E74" s="74">
        <f>B74+C74</f>
        <v>3060972.9729729732</v>
      </c>
      <c r="F74">
        <f>'Property Tax Calc'!E6</f>
        <v>0</v>
      </c>
      <c r="G74" s="43">
        <f t="shared" si="2"/>
        <v>3060972.9729729732</v>
      </c>
      <c r="I74" s="43">
        <f>U74</f>
        <v>2058334.1713356597</v>
      </c>
      <c r="J74" s="193">
        <f>(((E74*0.5)*0.025) +(E74*0.5))</f>
        <v>1568748.6486486488</v>
      </c>
      <c r="K74" s="193">
        <f>J74*0.025 + J74</f>
        <v>1607967.3648648651</v>
      </c>
      <c r="L74" s="193">
        <f>K74*0.025 + K74</f>
        <v>1648166.5489864866</v>
      </c>
      <c r="M74" s="193">
        <f t="shared" ref="M74:U74" si="8">L74*0.025 + L74</f>
        <v>1689370.7127111489</v>
      </c>
      <c r="N74" s="193">
        <f t="shared" si="8"/>
        <v>1731604.9805289276</v>
      </c>
      <c r="O74" s="193">
        <f t="shared" si="8"/>
        <v>1774895.1050421509</v>
      </c>
      <c r="P74" s="193">
        <f t="shared" si="8"/>
        <v>1819267.4826682047</v>
      </c>
      <c r="Q74" s="193">
        <f t="shared" si="8"/>
        <v>1864749.1697349099</v>
      </c>
      <c r="R74" s="193">
        <f t="shared" si="8"/>
        <v>1911367.8989782827</v>
      </c>
      <c r="S74" s="193">
        <f t="shared" si="8"/>
        <v>1959152.0964527398</v>
      </c>
      <c r="T74" s="193">
        <f t="shared" si="8"/>
        <v>2008130.8988640583</v>
      </c>
      <c r="U74" s="193">
        <f t="shared" si="8"/>
        <v>2058334.1713356597</v>
      </c>
    </row>
    <row r="75" spans="1:21" x14ac:dyDescent="0.35">
      <c r="A75" s="186"/>
      <c r="B75" s="74"/>
      <c r="C75" s="74"/>
      <c r="D75" s="74"/>
      <c r="E75" s="74"/>
      <c r="G75" s="43"/>
    </row>
    <row r="76" spans="1:21" x14ac:dyDescent="0.35">
      <c r="A76" s="186">
        <f>+A74+1</f>
        <v>2062</v>
      </c>
      <c r="B76" s="74">
        <f>IF(B2&gt;34, B1/B2, 0)</f>
        <v>2675675.6756756757</v>
      </c>
      <c r="C76" s="74">
        <f>D76*B3</f>
        <v>288972.97297297342</v>
      </c>
      <c r="D76" s="74">
        <f>D74 - B74</f>
        <v>8027027.0270270407</v>
      </c>
      <c r="E76" s="74">
        <f>B76+C76</f>
        <v>2964648.648648649</v>
      </c>
      <c r="F76">
        <f>'Property Tax Calc'!E6</f>
        <v>0</v>
      </c>
      <c r="G76" s="43">
        <f t="shared" si="2"/>
        <v>2964648.648648649</v>
      </c>
      <c r="I76" s="43">
        <f>U76</f>
        <v>1993561.4176922296</v>
      </c>
      <c r="J76" s="193">
        <f>(((E76*0.5)*0.025) +(E76*0.5))</f>
        <v>1519382.4324324327</v>
      </c>
      <c r="K76" s="193">
        <f>J76*0.025 + J76</f>
        <v>1557366.9932432435</v>
      </c>
      <c r="L76" s="193">
        <f>K76*0.025 + K76</f>
        <v>1596301.1680743247</v>
      </c>
      <c r="M76" s="193">
        <f t="shared" ref="M76:U76" si="9">L76*0.025 + L76</f>
        <v>1636208.6972761829</v>
      </c>
      <c r="N76" s="193">
        <f t="shared" si="9"/>
        <v>1677113.9147080875</v>
      </c>
      <c r="O76" s="193">
        <f t="shared" si="9"/>
        <v>1719041.7625757896</v>
      </c>
      <c r="P76" s="193">
        <f t="shared" si="9"/>
        <v>1762017.8066401843</v>
      </c>
      <c r="Q76" s="193">
        <f t="shared" si="9"/>
        <v>1806068.2518061888</v>
      </c>
      <c r="R76" s="193">
        <f t="shared" si="9"/>
        <v>1851219.9581013436</v>
      </c>
      <c r="S76" s="193">
        <f t="shared" si="9"/>
        <v>1897500.4570538772</v>
      </c>
      <c r="T76" s="193">
        <f t="shared" si="9"/>
        <v>1944937.968480224</v>
      </c>
      <c r="U76" s="193">
        <f t="shared" si="9"/>
        <v>1993561.4176922296</v>
      </c>
    </row>
    <row r="77" spans="1:21" x14ac:dyDescent="0.35">
      <c r="A77" s="186"/>
      <c r="B77" s="74"/>
      <c r="C77" s="74"/>
      <c r="D77" s="74"/>
      <c r="E77" s="74"/>
      <c r="G77" s="43"/>
    </row>
    <row r="78" spans="1:21" x14ac:dyDescent="0.35">
      <c r="A78" s="186">
        <f>+A76+1</f>
        <v>2063</v>
      </c>
      <c r="B78" s="74">
        <f>IF(B2&gt;35, B1/B2, 0)</f>
        <v>2675675.6756756757</v>
      </c>
      <c r="C78" s="74">
        <f>D78*B3</f>
        <v>192648.64864864913</v>
      </c>
      <c r="D78" s="74">
        <f>D76 - B76</f>
        <v>5351351.3513513654</v>
      </c>
      <c r="E78" s="74">
        <f>B78+C78</f>
        <v>2868324.3243243247</v>
      </c>
      <c r="F78">
        <f>'Property Tax Calc'!E6</f>
        <v>0</v>
      </c>
      <c r="G78" s="43">
        <f t="shared" si="2"/>
        <v>2868324.3243243247</v>
      </c>
      <c r="I78" s="43">
        <f>U78</f>
        <v>1928788.6640488002</v>
      </c>
      <c r="J78" s="193">
        <f>(((E78*0.5)*0.025) +(E78*0.5))</f>
        <v>1470016.2162162163</v>
      </c>
      <c r="K78" s="193">
        <f>J78*0.025 + J78</f>
        <v>1506766.6216216218</v>
      </c>
      <c r="L78" s="193">
        <f>K78*0.025 + K78</f>
        <v>1544435.7871621624</v>
      </c>
      <c r="M78" s="193">
        <f t="shared" ref="M78:U78" si="10">L78*0.025 + L78</f>
        <v>1583046.6818412165</v>
      </c>
      <c r="N78" s="193">
        <f t="shared" si="10"/>
        <v>1622622.848887247</v>
      </c>
      <c r="O78" s="193">
        <f t="shared" si="10"/>
        <v>1663188.4201094282</v>
      </c>
      <c r="P78" s="193">
        <f t="shared" si="10"/>
        <v>1704768.130612164</v>
      </c>
      <c r="Q78" s="193">
        <f t="shared" si="10"/>
        <v>1747387.3338774682</v>
      </c>
      <c r="R78" s="193">
        <f t="shared" si="10"/>
        <v>1791072.017224405</v>
      </c>
      <c r="S78" s="193">
        <f t="shared" si="10"/>
        <v>1835848.817655015</v>
      </c>
      <c r="T78" s="193">
        <f t="shared" si="10"/>
        <v>1881745.0380963904</v>
      </c>
      <c r="U78" s="193">
        <f t="shared" si="10"/>
        <v>1928788.6640488002</v>
      </c>
    </row>
    <row r="79" spans="1:21" x14ac:dyDescent="0.35">
      <c r="A79" s="186"/>
      <c r="B79" s="74"/>
      <c r="C79" s="74"/>
      <c r="D79" s="74"/>
      <c r="E79" s="74"/>
      <c r="G79" s="43"/>
    </row>
    <row r="80" spans="1:21" x14ac:dyDescent="0.35">
      <c r="A80" s="186">
        <f>+A78+1</f>
        <v>2064</v>
      </c>
      <c r="B80" s="74">
        <f>IF(B2&gt;36, B1/B2, 0)</f>
        <v>2675675.6756756757</v>
      </c>
      <c r="C80" s="74">
        <f>D80*B3</f>
        <v>96324.324324324829</v>
      </c>
      <c r="D80" s="74">
        <f>D78 - B78</f>
        <v>2675675.6756756897</v>
      </c>
      <c r="E80" s="74">
        <f>B80+C80</f>
        <v>2772000.0000000005</v>
      </c>
      <c r="F80">
        <f>'Property Tax Calc'!E6</f>
        <v>0</v>
      </c>
      <c r="G80" s="43">
        <f t="shared" si="2"/>
        <v>2772000.0000000005</v>
      </c>
      <c r="I80" s="43">
        <f>U80</f>
        <v>1864015.9104053699</v>
      </c>
      <c r="J80" s="193">
        <f>(((E80*0.5)*0.025) +(E80*0.5))</f>
        <v>1420650.0000000002</v>
      </c>
      <c r="K80" s="193">
        <f>J80*0.025 + J80</f>
        <v>1456166.2500000002</v>
      </c>
      <c r="L80" s="193">
        <f>K80*0.025 + K80</f>
        <v>1492570.4062500002</v>
      </c>
      <c r="M80" s="193">
        <f t="shared" ref="M80:U80" si="11">L80*0.025 + L80</f>
        <v>1529884.6664062503</v>
      </c>
      <c r="N80" s="193">
        <f t="shared" si="11"/>
        <v>1568131.7830664066</v>
      </c>
      <c r="O80" s="193">
        <f t="shared" si="11"/>
        <v>1607335.0776430669</v>
      </c>
      <c r="P80" s="193">
        <f t="shared" si="11"/>
        <v>1647518.4545841436</v>
      </c>
      <c r="Q80" s="193">
        <f t="shared" si="11"/>
        <v>1688706.4159487472</v>
      </c>
      <c r="R80" s="193">
        <f t="shared" si="11"/>
        <v>1730924.0763474659</v>
      </c>
      <c r="S80" s="193">
        <f t="shared" si="11"/>
        <v>1774197.1782561524</v>
      </c>
      <c r="T80" s="193">
        <f t="shared" si="11"/>
        <v>1818552.1077125561</v>
      </c>
      <c r="U80" s="193">
        <f t="shared" si="11"/>
        <v>1864015.9104053699</v>
      </c>
    </row>
    <row r="81" spans="1:21" x14ac:dyDescent="0.35">
      <c r="A81" s="186"/>
      <c r="B81" s="74"/>
      <c r="C81" s="74"/>
      <c r="D81" s="74"/>
      <c r="E81" s="74"/>
      <c r="G81" s="43"/>
    </row>
    <row r="82" spans="1:21" x14ac:dyDescent="0.35">
      <c r="A82" s="186">
        <f>+A80+1</f>
        <v>2065</v>
      </c>
      <c r="B82" s="74">
        <f>IF(B2&gt;37, B1/B2, 0)</f>
        <v>0</v>
      </c>
      <c r="C82" s="74">
        <f>D82*B3</f>
        <v>5.0291419029235833E-10</v>
      </c>
      <c r="D82" s="74">
        <f>D80 - B80</f>
        <v>1.3969838619232178E-8</v>
      </c>
      <c r="E82" s="74">
        <f>B82+C82</f>
        <v>5.0291419029235833E-10</v>
      </c>
      <c r="F82">
        <f>'Property Tax Calc'!E6</f>
        <v>0</v>
      </c>
      <c r="G82" s="43">
        <f t="shared" si="2"/>
        <v>5.0291419029235833E-10</v>
      </c>
      <c r="I82" s="43">
        <f>U82</f>
        <v>3.3818183703953443E-10</v>
      </c>
      <c r="J82" s="193">
        <f>(((E82*0.5)*0.025) +(E82*0.5))</f>
        <v>2.5774352252483362E-10</v>
      </c>
      <c r="K82" s="193">
        <f>J82*0.025 + J82</f>
        <v>2.6418711058795444E-10</v>
      </c>
      <c r="L82" s="193">
        <f>K82*0.025 + K82</f>
        <v>2.7079178835265328E-10</v>
      </c>
      <c r="M82" s="193">
        <f t="shared" ref="M82:U82" si="12">L82*0.025 + L82</f>
        <v>2.7756158306146961E-10</v>
      </c>
      <c r="N82" s="193">
        <f t="shared" si="12"/>
        <v>2.8450062263800633E-10</v>
      </c>
      <c r="O82" s="193">
        <f t="shared" si="12"/>
        <v>2.9161313820395651E-10</v>
      </c>
      <c r="P82" s="193">
        <f t="shared" si="12"/>
        <v>2.9890346665905542E-10</v>
      </c>
      <c r="Q82" s="193">
        <f t="shared" si="12"/>
        <v>3.0637605332553181E-10</v>
      </c>
      <c r="R82" s="193">
        <f t="shared" si="12"/>
        <v>3.1403545465867013E-10</v>
      </c>
      <c r="S82" s="193">
        <f t="shared" si="12"/>
        <v>3.2188634102513687E-10</v>
      </c>
      <c r="T82" s="193">
        <f t="shared" si="12"/>
        <v>3.2993349955076529E-10</v>
      </c>
      <c r="U82" s="193">
        <f t="shared" si="12"/>
        <v>3.3818183703953443E-10</v>
      </c>
    </row>
    <row r="83" spans="1:21" x14ac:dyDescent="0.35">
      <c r="A83" s="186"/>
      <c r="B83" s="74"/>
      <c r="C83" s="74"/>
      <c r="D83" s="74"/>
      <c r="E83" s="74"/>
    </row>
    <row r="84" spans="1:21" x14ac:dyDescent="0.35">
      <c r="A84" s="186">
        <f>+A82+1</f>
        <v>2066</v>
      </c>
      <c r="B84" s="74">
        <f>IF(B2&gt;38, B1/B2, 0)</f>
        <v>0</v>
      </c>
      <c r="C84" s="74">
        <f>D84*B3</f>
        <v>5.0291419029235833E-10</v>
      </c>
      <c r="D84" s="74">
        <f>D82 - B82</f>
        <v>1.3969838619232178E-8</v>
      </c>
      <c r="E84" s="74">
        <f>B84+C84</f>
        <v>5.0291419029235833E-10</v>
      </c>
      <c r="F84">
        <f>'Property Tax Calc'!E6</f>
        <v>0</v>
      </c>
      <c r="G84" s="43">
        <f t="shared" si="2"/>
        <v>5.0291419029235833E-10</v>
      </c>
      <c r="I84" s="43">
        <f>U84</f>
        <v>3.3818183703953443E-10</v>
      </c>
      <c r="J84" s="193">
        <f>(((E84*0.5)*0.025) +(E84*0.5))</f>
        <v>2.5774352252483362E-10</v>
      </c>
      <c r="K84" s="193">
        <f>J84*0.025 + J84</f>
        <v>2.6418711058795444E-10</v>
      </c>
      <c r="L84" s="193">
        <f>K84*0.025 + K84</f>
        <v>2.7079178835265328E-10</v>
      </c>
      <c r="M84" s="193">
        <f t="shared" ref="M84:U84" si="13">L84*0.025 + L84</f>
        <v>2.7756158306146961E-10</v>
      </c>
      <c r="N84" s="193">
        <f t="shared" si="13"/>
        <v>2.8450062263800633E-10</v>
      </c>
      <c r="O84" s="193">
        <f t="shared" si="13"/>
        <v>2.9161313820395651E-10</v>
      </c>
      <c r="P84" s="193">
        <f t="shared" si="13"/>
        <v>2.9890346665905542E-10</v>
      </c>
      <c r="Q84" s="193">
        <f t="shared" si="13"/>
        <v>3.0637605332553181E-10</v>
      </c>
      <c r="R84" s="193">
        <f t="shared" si="13"/>
        <v>3.1403545465867013E-10</v>
      </c>
      <c r="S84" s="193">
        <f t="shared" si="13"/>
        <v>3.2188634102513687E-10</v>
      </c>
      <c r="T84" s="193">
        <f t="shared" si="13"/>
        <v>3.2993349955076529E-10</v>
      </c>
      <c r="U84" s="193">
        <f t="shared" si="13"/>
        <v>3.3818183703953443E-10</v>
      </c>
    </row>
    <row r="85" spans="1:21" x14ac:dyDescent="0.35">
      <c r="A85" s="186"/>
      <c r="B85" s="74"/>
      <c r="C85" s="74"/>
      <c r="D85" s="74"/>
      <c r="E85" s="74"/>
    </row>
    <row r="86" spans="1:21" x14ac:dyDescent="0.35">
      <c r="A86" s="186">
        <f>+A84+1</f>
        <v>2067</v>
      </c>
      <c r="B86" s="74">
        <f>IF(B2&gt;39, B1/B2, 0)</f>
        <v>0</v>
      </c>
      <c r="C86" s="74">
        <f>D86*B3</f>
        <v>5.0291419029235833E-10</v>
      </c>
      <c r="D86" s="74">
        <f>D84 - B84</f>
        <v>1.3969838619232178E-8</v>
      </c>
      <c r="E86" s="74">
        <f>B86+C86</f>
        <v>5.0291419029235833E-10</v>
      </c>
      <c r="F86">
        <f>'Property Tax Calc'!E6</f>
        <v>0</v>
      </c>
      <c r="G86" s="43">
        <f t="shared" si="2"/>
        <v>5.0291419029235833E-10</v>
      </c>
      <c r="I86" s="43">
        <f>U86</f>
        <v>3.3818183703953443E-10</v>
      </c>
      <c r="J86" s="193">
        <f>(((E86*0.5)*0.025) +(E86*0.5))</f>
        <v>2.5774352252483362E-10</v>
      </c>
      <c r="K86" s="193">
        <f>J86*0.025 + J86</f>
        <v>2.6418711058795444E-10</v>
      </c>
      <c r="L86" s="193">
        <f>K86*0.025 + K86</f>
        <v>2.7079178835265328E-10</v>
      </c>
      <c r="M86" s="193">
        <f t="shared" ref="M86:U86" si="14">L86*0.025 + L86</f>
        <v>2.7756158306146961E-10</v>
      </c>
      <c r="N86" s="193">
        <f t="shared" si="14"/>
        <v>2.8450062263800633E-10</v>
      </c>
      <c r="O86" s="193">
        <f t="shared" si="14"/>
        <v>2.9161313820395651E-10</v>
      </c>
      <c r="P86" s="193">
        <f t="shared" si="14"/>
        <v>2.9890346665905542E-10</v>
      </c>
      <c r="Q86" s="193">
        <f t="shared" si="14"/>
        <v>3.0637605332553181E-10</v>
      </c>
      <c r="R86" s="193">
        <f t="shared" si="14"/>
        <v>3.1403545465867013E-10</v>
      </c>
      <c r="S86" s="193">
        <f t="shared" si="14"/>
        <v>3.2188634102513687E-10</v>
      </c>
      <c r="T86" s="193">
        <f t="shared" si="14"/>
        <v>3.2993349955076529E-10</v>
      </c>
      <c r="U86" s="193">
        <f t="shared" si="14"/>
        <v>3.3818183703953443E-10</v>
      </c>
    </row>
    <row r="87" spans="1:21" x14ac:dyDescent="0.35">
      <c r="A87" s="186"/>
      <c r="B87" s="74"/>
      <c r="C87" s="74"/>
      <c r="D87" s="74"/>
      <c r="E87" s="74"/>
    </row>
    <row r="88" spans="1:21" x14ac:dyDescent="0.35">
      <c r="B88" s="74"/>
      <c r="C88" s="74"/>
      <c r="D88" s="74"/>
      <c r="E88" s="74"/>
    </row>
    <row r="89" spans="1:21" x14ac:dyDescent="0.35">
      <c r="A89" t="s">
        <v>11</v>
      </c>
      <c r="B89" s="74">
        <f>SUM(B8:B87)</f>
        <v>99000000</v>
      </c>
      <c r="C89" s="74">
        <f>SUM(C8:C87)</f>
        <v>67716000.000000015</v>
      </c>
      <c r="D89" s="74"/>
      <c r="E89" s="74">
        <f>SUM(E8:E87)</f>
        <v>166715999.99999994</v>
      </c>
      <c r="G89">
        <v>0</v>
      </c>
      <c r="I89" s="43">
        <f>SUM(I8:I88)</f>
        <v>112107242.61152296</v>
      </c>
      <c r="J89" s="27"/>
    </row>
    <row r="90" spans="1:21" x14ac:dyDescent="0.35">
      <c r="B90" s="2"/>
      <c r="C90" s="2"/>
      <c r="D90" s="2"/>
      <c r="E90" s="2"/>
    </row>
    <row r="91" spans="1:21" x14ac:dyDescent="0.35">
      <c r="B91" s="2"/>
      <c r="C91" s="2"/>
      <c r="D91" s="2"/>
      <c r="E91" s="2"/>
    </row>
  </sheetData>
  <mergeCells count="4">
    <mergeCell ref="G5:G6"/>
    <mergeCell ref="E5:E6"/>
    <mergeCell ref="F3:F6"/>
    <mergeCell ref="I3:I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E6D0-9A61-401E-87D3-7E020194D791}">
  <dimension ref="A1:N75"/>
  <sheetViews>
    <sheetView topLeftCell="A10" zoomScaleNormal="100" workbookViewId="0">
      <selection activeCell="L26" sqref="L26"/>
    </sheetView>
  </sheetViews>
  <sheetFormatPr defaultRowHeight="14.5" x14ac:dyDescent="0.35"/>
  <cols>
    <col min="1" max="1" width="11.36328125" customWidth="1"/>
    <col min="2" max="2" width="15.90625" customWidth="1"/>
    <col min="3" max="4" width="0" hidden="1" customWidth="1"/>
    <col min="11" max="11" width="17.7265625" style="173" customWidth="1"/>
    <col min="12" max="12" width="19.6328125" customWidth="1"/>
    <col min="13" max="13" width="23" customWidth="1"/>
    <col min="14" max="14" width="17.54296875" customWidth="1"/>
  </cols>
  <sheetData>
    <row r="1" spans="1:14" ht="18.5" x14ac:dyDescent="0.45">
      <c r="A1" s="27"/>
      <c r="B1" s="27"/>
      <c r="F1" s="165" t="s">
        <v>180</v>
      </c>
    </row>
    <row r="2" spans="1:14" ht="18.5" x14ac:dyDescent="0.45">
      <c r="A2" s="27"/>
      <c r="B2" s="27"/>
      <c r="F2" s="165"/>
    </row>
    <row r="3" spans="1:14" ht="18.5" x14ac:dyDescent="0.45">
      <c r="A3" s="27"/>
      <c r="B3" s="378" t="s">
        <v>196</v>
      </c>
      <c r="C3" s="379"/>
      <c r="D3" s="379"/>
      <c r="E3" s="379"/>
      <c r="F3" s="165"/>
      <c r="K3" s="378" t="s">
        <v>197</v>
      </c>
      <c r="L3" s="378"/>
    </row>
    <row r="4" spans="1:14" ht="15" thickBot="1" x14ac:dyDescent="0.4">
      <c r="A4" s="77" t="s">
        <v>3</v>
      </c>
      <c r="B4" s="78" t="s">
        <v>186</v>
      </c>
      <c r="E4" s="78" t="s">
        <v>196</v>
      </c>
      <c r="F4" s="78"/>
      <c r="G4" s="78"/>
      <c r="H4" s="78"/>
      <c r="I4" s="78"/>
      <c r="J4" s="78"/>
      <c r="K4" s="174" t="s">
        <v>198</v>
      </c>
      <c r="L4" s="78"/>
      <c r="M4" s="78"/>
      <c r="N4" s="78" t="s">
        <v>10</v>
      </c>
    </row>
    <row r="5" spans="1:14" x14ac:dyDescent="0.35">
      <c r="A5" s="166"/>
      <c r="B5" s="168"/>
      <c r="K5" s="169"/>
      <c r="N5" s="169"/>
    </row>
    <row r="6" spans="1:14" x14ac:dyDescent="0.35">
      <c r="A6" s="164">
        <v>2024</v>
      </c>
      <c r="B6" s="167">
        <v>0</v>
      </c>
      <c r="E6" t="s">
        <v>187</v>
      </c>
      <c r="K6" s="169">
        <v>254810.05679500001</v>
      </c>
      <c r="L6" t="s">
        <v>201</v>
      </c>
      <c r="N6" s="169">
        <f>B6+K6</f>
        <v>254810.05679500001</v>
      </c>
    </row>
    <row r="7" spans="1:14" x14ac:dyDescent="0.35">
      <c r="A7" s="164"/>
      <c r="B7" s="167"/>
      <c r="K7" s="169"/>
      <c r="L7" t="s">
        <v>199</v>
      </c>
      <c r="N7" s="169"/>
    </row>
    <row r="8" spans="1:14" x14ac:dyDescent="0.35">
      <c r="A8" s="164">
        <v>2025</v>
      </c>
      <c r="B8" s="167">
        <v>0</v>
      </c>
      <c r="E8" t="s">
        <v>187</v>
      </c>
      <c r="K8" s="169">
        <v>266643.29964500002</v>
      </c>
      <c r="L8" t="s">
        <v>200</v>
      </c>
      <c r="N8" s="169">
        <f>B8+K8</f>
        <v>266643.29964500002</v>
      </c>
    </row>
    <row r="9" spans="1:14" x14ac:dyDescent="0.35">
      <c r="A9" s="164"/>
      <c r="B9" s="167"/>
      <c r="K9" s="169"/>
      <c r="N9" s="169"/>
    </row>
    <row r="10" spans="1:14" x14ac:dyDescent="0.35">
      <c r="A10" s="164">
        <v>2026</v>
      </c>
      <c r="B10" s="167">
        <v>0</v>
      </c>
      <c r="E10" t="s">
        <v>187</v>
      </c>
      <c r="K10" s="169">
        <v>279975.46462725004</v>
      </c>
      <c r="N10" s="169">
        <f>B10+K10</f>
        <v>279975.46462725004</v>
      </c>
    </row>
    <row r="11" spans="1:14" x14ac:dyDescent="0.35">
      <c r="A11" s="164"/>
      <c r="B11" s="167"/>
      <c r="K11" s="169"/>
      <c r="N11" s="169"/>
    </row>
    <row r="12" spans="1:14" x14ac:dyDescent="0.35">
      <c r="A12" s="164">
        <v>2027</v>
      </c>
      <c r="B12" s="169">
        <v>2115000</v>
      </c>
      <c r="E12" t="s">
        <v>188</v>
      </c>
      <c r="K12" s="169">
        <v>293974.23785861256</v>
      </c>
      <c r="N12" s="169">
        <f>B12+K12</f>
        <v>2408974.2378586126</v>
      </c>
    </row>
    <row r="13" spans="1:14" x14ac:dyDescent="0.35">
      <c r="A13" s="164"/>
      <c r="B13" s="169"/>
      <c r="K13" s="169"/>
      <c r="N13" s="169"/>
    </row>
    <row r="14" spans="1:14" x14ac:dyDescent="0.35">
      <c r="A14" s="164">
        <v>2028</v>
      </c>
      <c r="B14" s="169">
        <v>1650000</v>
      </c>
      <c r="E14" t="s">
        <v>181</v>
      </c>
      <c r="K14" s="169">
        <v>308672.94975154323</v>
      </c>
      <c r="N14" s="169">
        <f>B14+K14</f>
        <v>1958672.9497515433</v>
      </c>
    </row>
    <row r="15" spans="1:14" x14ac:dyDescent="0.35">
      <c r="A15" s="164"/>
      <c r="B15" s="169"/>
      <c r="K15" s="169"/>
      <c r="N15" s="169"/>
    </row>
    <row r="16" spans="1:14" x14ac:dyDescent="0.35">
      <c r="A16" s="164">
        <v>2029</v>
      </c>
      <c r="B16" s="169">
        <v>2500000</v>
      </c>
      <c r="E16" t="s">
        <v>182</v>
      </c>
      <c r="K16" s="169">
        <v>324106.5972391204</v>
      </c>
      <c r="N16" s="169">
        <f>B16+K16</f>
        <v>2824106.5972391204</v>
      </c>
    </row>
    <row r="17" spans="1:14" x14ac:dyDescent="0.35">
      <c r="A17" s="164"/>
      <c r="B17" s="169"/>
      <c r="K17" s="169"/>
      <c r="N17" s="169"/>
    </row>
    <row r="18" spans="1:14" x14ac:dyDescent="0.35">
      <c r="A18" s="164">
        <v>2030</v>
      </c>
      <c r="B18" s="169">
        <v>1370000</v>
      </c>
      <c r="E18" t="s">
        <v>189</v>
      </c>
      <c r="K18" s="169">
        <v>340311.92710107646</v>
      </c>
      <c r="N18" s="169">
        <f>B18+K18</f>
        <v>1710311.9271010766</v>
      </c>
    </row>
    <row r="19" spans="1:14" x14ac:dyDescent="0.35">
      <c r="A19" s="164"/>
      <c r="B19" s="169"/>
      <c r="K19" s="169"/>
      <c r="N19" s="169"/>
    </row>
    <row r="20" spans="1:14" x14ac:dyDescent="0.35">
      <c r="A20" s="164">
        <v>2031</v>
      </c>
      <c r="B20" s="169">
        <v>1500000</v>
      </c>
      <c r="E20" t="s">
        <v>194</v>
      </c>
      <c r="K20" s="169">
        <v>357327.52345613029</v>
      </c>
      <c r="N20" s="169">
        <f>B20+K20</f>
        <v>1857327.5234561302</v>
      </c>
    </row>
    <row r="21" spans="1:14" x14ac:dyDescent="0.35">
      <c r="A21" s="164"/>
      <c r="B21" s="169"/>
      <c r="E21" t="s">
        <v>195</v>
      </c>
      <c r="K21" s="169"/>
      <c r="N21" s="169"/>
    </row>
    <row r="22" spans="1:14" x14ac:dyDescent="0.35">
      <c r="A22" s="164">
        <v>2032</v>
      </c>
      <c r="B22" s="169">
        <v>1250000</v>
      </c>
      <c r="E22" t="s">
        <v>193</v>
      </c>
      <c r="K22" s="169">
        <v>375193.89962893678</v>
      </c>
      <c r="N22" s="169">
        <f>B22+K22</f>
        <v>1625193.8996289368</v>
      </c>
    </row>
    <row r="23" spans="1:14" x14ac:dyDescent="0.35">
      <c r="A23" s="164"/>
      <c r="B23" s="169"/>
      <c r="E23" t="s">
        <v>183</v>
      </c>
      <c r="K23" s="169"/>
      <c r="N23" s="169"/>
    </row>
    <row r="24" spans="1:14" x14ac:dyDescent="0.35">
      <c r="A24" s="164">
        <v>2033</v>
      </c>
      <c r="B24" s="169">
        <v>2040000</v>
      </c>
      <c r="E24" t="s">
        <v>191</v>
      </c>
      <c r="K24" s="169">
        <v>393953.59461038362</v>
      </c>
      <c r="N24" s="169">
        <f>B24+K24</f>
        <v>2433953.5946103837</v>
      </c>
    </row>
    <row r="25" spans="1:14" x14ac:dyDescent="0.35">
      <c r="A25" s="164"/>
      <c r="B25" s="169"/>
      <c r="E25" t="s">
        <v>190</v>
      </c>
      <c r="N25" s="169"/>
    </row>
    <row r="26" spans="1:14" x14ac:dyDescent="0.35">
      <c r="A26" s="164">
        <v>2034</v>
      </c>
      <c r="B26" s="169">
        <v>1300000</v>
      </c>
      <c r="E26" t="s">
        <v>184</v>
      </c>
      <c r="K26" s="169">
        <f>K24 + K24*0.05</f>
        <v>413651.2743409028</v>
      </c>
      <c r="N26" s="169">
        <f>B26+K26</f>
        <v>1713651.2743409029</v>
      </c>
    </row>
    <row r="27" spans="1:14" x14ac:dyDescent="0.35">
      <c r="A27" s="164"/>
      <c r="B27" s="169"/>
      <c r="N27" s="169"/>
    </row>
    <row r="28" spans="1:14" x14ac:dyDescent="0.35">
      <c r="A28" s="164">
        <v>2035</v>
      </c>
      <c r="B28" s="169">
        <v>1875000</v>
      </c>
      <c r="E28" t="s">
        <v>192</v>
      </c>
      <c r="K28" s="169">
        <f>K26 + K26*0.05</f>
        <v>434333.83805794793</v>
      </c>
      <c r="N28" s="169">
        <f>B28+K28</f>
        <v>2309333.8380579478</v>
      </c>
    </row>
    <row r="29" spans="1:14" x14ac:dyDescent="0.35">
      <c r="A29" s="164"/>
      <c r="B29" s="169"/>
      <c r="E29" t="s">
        <v>185</v>
      </c>
      <c r="N29" s="169"/>
    </row>
    <row r="30" spans="1:14" x14ac:dyDescent="0.35">
      <c r="A30" s="164">
        <v>2036</v>
      </c>
      <c r="B30" s="74">
        <f>Amortization!I8</f>
        <v>4195835.0415688427</v>
      </c>
      <c r="E30" t="s">
        <v>232</v>
      </c>
      <c r="K30" s="169">
        <f>K28 + K28*0.05</f>
        <v>456050.52996084531</v>
      </c>
      <c r="N30" s="169">
        <f>B30+K30</f>
        <v>4651885.5715296883</v>
      </c>
    </row>
    <row r="31" spans="1:14" x14ac:dyDescent="0.35">
      <c r="A31" s="164"/>
      <c r="B31" s="74"/>
      <c r="N31" s="169"/>
    </row>
    <row r="32" spans="1:14" x14ac:dyDescent="0.35">
      <c r="A32" s="164">
        <v>2037</v>
      </c>
      <c r="B32" s="74">
        <f>Amortization!I10</f>
        <v>4131062.2879254129</v>
      </c>
      <c r="K32" s="169">
        <f>K30 + K30*0.05</f>
        <v>478853.05645888759</v>
      </c>
      <c r="N32" s="169">
        <f>B32+K32</f>
        <v>4609915.3443843005</v>
      </c>
    </row>
    <row r="33" spans="1:14" x14ac:dyDescent="0.35">
      <c r="A33" s="164"/>
      <c r="B33" s="74"/>
      <c r="N33" s="169"/>
    </row>
    <row r="34" spans="1:14" x14ac:dyDescent="0.35">
      <c r="A34" s="164">
        <v>2038</v>
      </c>
      <c r="B34" s="74">
        <f>Amortization!I12</f>
        <v>4066289.534281983</v>
      </c>
      <c r="K34" s="169">
        <f>K32 + K32*0.05</f>
        <v>502795.70928183198</v>
      </c>
      <c r="N34" s="169">
        <f>B34+K34</f>
        <v>4569085.243563815</v>
      </c>
    </row>
    <row r="35" spans="1:14" x14ac:dyDescent="0.35">
      <c r="A35" s="164"/>
      <c r="B35" s="74"/>
      <c r="N35" s="169"/>
    </row>
    <row r="36" spans="1:14" x14ac:dyDescent="0.35">
      <c r="A36" s="164">
        <v>2039</v>
      </c>
      <c r="B36" s="74">
        <f>Amortization!I14</f>
        <v>4001516.7806385541</v>
      </c>
      <c r="K36" s="169">
        <f>K34 + K34*0.05</f>
        <v>527935.49474592356</v>
      </c>
      <c r="N36" s="169">
        <f>B36+K36</f>
        <v>4529452.2753844773</v>
      </c>
    </row>
    <row r="37" spans="1:14" x14ac:dyDescent="0.35">
      <c r="A37" s="164"/>
      <c r="B37" s="74"/>
      <c r="N37" s="169"/>
    </row>
    <row r="38" spans="1:14" x14ac:dyDescent="0.35">
      <c r="A38" s="164">
        <v>2040</v>
      </c>
      <c r="B38" s="74">
        <f>Amortization!I16</f>
        <v>3936744.0269951238</v>
      </c>
      <c r="K38" s="169">
        <f>K36 + K36*0.05</f>
        <v>554332.26948321972</v>
      </c>
      <c r="N38" s="169">
        <f>B38+K38</f>
        <v>4491076.2964783432</v>
      </c>
    </row>
    <row r="39" spans="1:14" x14ac:dyDescent="0.35">
      <c r="A39" s="164"/>
      <c r="B39" s="74"/>
      <c r="N39" s="169"/>
    </row>
    <row r="40" spans="1:14" x14ac:dyDescent="0.35">
      <c r="A40" s="164">
        <v>2041</v>
      </c>
      <c r="B40" s="74">
        <f>Amortization!I18</f>
        <v>3871971.2733516935</v>
      </c>
      <c r="K40" s="169">
        <f>K38 + K38*0.05</f>
        <v>582048.88295738073</v>
      </c>
      <c r="N40" s="169">
        <f>B40+K40</f>
        <v>4454020.1563090738</v>
      </c>
    </row>
    <row r="41" spans="1:14" x14ac:dyDescent="0.35">
      <c r="A41" s="164"/>
      <c r="B41" s="74"/>
      <c r="N41" s="169"/>
    </row>
    <row r="42" spans="1:14" x14ac:dyDescent="0.35">
      <c r="A42" s="164">
        <v>2042</v>
      </c>
      <c r="B42" s="74">
        <f>Amortization!I20</f>
        <v>3807198.5197082656</v>
      </c>
      <c r="K42" s="169">
        <f>K40 + K40*0.05</f>
        <v>611151.32710524974</v>
      </c>
      <c r="N42" s="169">
        <f>B42+K42</f>
        <v>4418349.8468135148</v>
      </c>
    </row>
    <row r="43" spans="1:14" x14ac:dyDescent="0.35">
      <c r="A43" s="164"/>
      <c r="B43" s="74"/>
      <c r="N43" s="169"/>
    </row>
    <row r="44" spans="1:14" x14ac:dyDescent="0.35">
      <c r="A44" s="164">
        <v>2043</v>
      </c>
      <c r="B44" s="74">
        <f>Amortization!I22</f>
        <v>3742425.7660648348</v>
      </c>
      <c r="K44" s="169">
        <f>K42 + K42*0.05</f>
        <v>641708.89346051228</v>
      </c>
      <c r="N44" s="169">
        <f>B44+K44</f>
        <v>4384134.6595253469</v>
      </c>
    </row>
    <row r="45" spans="1:14" x14ac:dyDescent="0.35">
      <c r="A45" s="164"/>
      <c r="B45" s="74"/>
      <c r="N45" s="169"/>
    </row>
    <row r="46" spans="1:14" x14ac:dyDescent="0.35">
      <c r="A46" s="164">
        <v>2044</v>
      </c>
      <c r="B46" s="74">
        <f>Amortization!I24</f>
        <v>3677653.012421404</v>
      </c>
      <c r="K46" s="169">
        <f>K44 + K44*0.05</f>
        <v>673794.33813353791</v>
      </c>
      <c r="N46" s="169">
        <f>B46+K46</f>
        <v>4351447.3505549422</v>
      </c>
    </row>
    <row r="47" spans="1:14" x14ac:dyDescent="0.35">
      <c r="A47" s="164"/>
      <c r="B47" s="74"/>
      <c r="N47" s="169"/>
    </row>
    <row r="48" spans="1:14" x14ac:dyDescent="0.35">
      <c r="A48" s="164">
        <v>2045</v>
      </c>
      <c r="B48" s="74">
        <f>Amortization!I26</f>
        <v>3612880.2587779751</v>
      </c>
      <c r="K48" s="169">
        <f>K46 + K46*0.05</f>
        <v>707484.05504021479</v>
      </c>
      <c r="N48" s="169">
        <f>B48+K48</f>
        <v>4320364.3138181902</v>
      </c>
    </row>
    <row r="49" spans="1:14" x14ac:dyDescent="0.35">
      <c r="A49" s="164"/>
      <c r="B49" s="74"/>
      <c r="N49" s="169"/>
    </row>
    <row r="50" spans="1:14" x14ac:dyDescent="0.35">
      <c r="A50" s="164">
        <v>2046</v>
      </c>
      <c r="B50" s="74">
        <f>Amortization!I28</f>
        <v>3548107.5051345453</v>
      </c>
      <c r="K50" s="169">
        <f>K48 + K48*0.05</f>
        <v>742858.25779222557</v>
      </c>
      <c r="N50" s="169">
        <f>B50+K50</f>
        <v>4290965.7629267704</v>
      </c>
    </row>
    <row r="51" spans="1:14" x14ac:dyDescent="0.35">
      <c r="A51" s="164"/>
      <c r="B51" s="74"/>
      <c r="N51" s="169"/>
    </row>
    <row r="52" spans="1:14" x14ac:dyDescent="0.35">
      <c r="A52" s="164">
        <v>2047</v>
      </c>
      <c r="B52" s="74">
        <f>Amortization!I30</f>
        <v>3483334.7514911159</v>
      </c>
      <c r="K52" s="169">
        <f>K50 + K50*0.05</f>
        <v>780001.1706818369</v>
      </c>
      <c r="N52" s="169">
        <f>B52+K52</f>
        <v>4263335.9221729524</v>
      </c>
    </row>
    <row r="53" spans="1:14" x14ac:dyDescent="0.35">
      <c r="A53" s="164"/>
      <c r="B53" s="74"/>
      <c r="N53" s="169"/>
    </row>
    <row r="54" spans="1:14" x14ac:dyDescent="0.35">
      <c r="A54" s="164">
        <v>2048</v>
      </c>
      <c r="B54" s="74">
        <f>Amortization!I32</f>
        <v>3418561.9978476856</v>
      </c>
      <c r="K54" s="169">
        <f>K52 + K52*0.05</f>
        <v>819001.2292159287</v>
      </c>
      <c r="N54" s="169">
        <f>B54+K54</f>
        <v>4237563.2270636139</v>
      </c>
    </row>
    <row r="55" spans="1:14" x14ac:dyDescent="0.35">
      <c r="A55" s="164"/>
      <c r="B55" s="74"/>
      <c r="N55" s="169"/>
    </row>
    <row r="56" spans="1:14" x14ac:dyDescent="0.35">
      <c r="A56" s="164">
        <v>2049</v>
      </c>
      <c r="B56" s="74">
        <f>Amortization!I34</f>
        <v>3353789.2442042558</v>
      </c>
      <c r="K56" s="169">
        <f>K54 + K54*0.05</f>
        <v>859951.2906767251</v>
      </c>
      <c r="N56" s="169">
        <f>B56+K56</f>
        <v>4213740.5348809808</v>
      </c>
    </row>
    <row r="57" spans="1:14" x14ac:dyDescent="0.35">
      <c r="A57" s="164"/>
      <c r="B57" s="74"/>
      <c r="N57" s="169"/>
    </row>
    <row r="58" spans="1:14" x14ac:dyDescent="0.35">
      <c r="A58" s="164">
        <v>2050</v>
      </c>
      <c r="B58" s="74">
        <f>Amortization!I36</f>
        <v>3289016.4905608254</v>
      </c>
      <c r="K58" s="169">
        <f>K56 + K56*0.05</f>
        <v>902948.85521056131</v>
      </c>
      <c r="N58" s="169">
        <f>B58+K58</f>
        <v>4191965.3457713868</v>
      </c>
    </row>
    <row r="59" spans="1:14" x14ac:dyDescent="0.35">
      <c r="A59" s="164"/>
      <c r="B59" s="74"/>
      <c r="N59" s="169"/>
    </row>
    <row r="60" spans="1:14" x14ac:dyDescent="0.35">
      <c r="A60" s="164">
        <v>2051</v>
      </c>
      <c r="B60" s="74">
        <f>Amortization!I38</f>
        <v>3224243.7369173965</v>
      </c>
      <c r="K60" s="169">
        <f>K58 + K58*0.05</f>
        <v>948096.29797108937</v>
      </c>
      <c r="N60" s="169">
        <f>B60+K60</f>
        <v>4172340.0348884859</v>
      </c>
    </row>
    <row r="61" spans="1:14" x14ac:dyDescent="0.35">
      <c r="A61" s="164"/>
      <c r="B61" s="74"/>
      <c r="N61" s="169"/>
    </row>
    <row r="62" spans="1:14" x14ac:dyDescent="0.35">
      <c r="A62" s="164">
        <v>2052</v>
      </c>
      <c r="B62" s="74">
        <f>Amortization!I40</f>
        <v>3159470.9832739676</v>
      </c>
      <c r="K62" s="169">
        <f>K60 + K60*0.05</f>
        <v>995501.11286964384</v>
      </c>
      <c r="N62" s="169">
        <f>B62+K62</f>
        <v>4154972.0961436117</v>
      </c>
    </row>
    <row r="63" spans="1:14" x14ac:dyDescent="0.35">
      <c r="A63" s="164"/>
      <c r="B63" s="74"/>
      <c r="N63" s="169"/>
    </row>
    <row r="64" spans="1:14" x14ac:dyDescent="0.35">
      <c r="A64" s="164">
        <v>2053</v>
      </c>
      <c r="B64" s="74">
        <f>Amortization!I42</f>
        <v>3094698.2296305369</v>
      </c>
      <c r="K64" s="169">
        <f>K62 + K62*0.05</f>
        <v>1045276.168513126</v>
      </c>
      <c r="N64" s="169">
        <f>B64+K64</f>
        <v>4139974.3981436631</v>
      </c>
    </row>
    <row r="65" spans="1:14" x14ac:dyDescent="0.35">
      <c r="A65" s="164"/>
      <c r="B65" s="74"/>
      <c r="N65" s="169"/>
    </row>
    <row r="66" spans="1:14" x14ac:dyDescent="0.35">
      <c r="A66" s="164">
        <v>2054</v>
      </c>
      <c r="B66" s="74">
        <f>Amortization!I44</f>
        <v>3029925.475987107</v>
      </c>
      <c r="K66" s="169">
        <f>K64 + K64*0.05</f>
        <v>1097539.9769387823</v>
      </c>
      <c r="N66" s="169">
        <f>B66+K66</f>
        <v>4127465.4529258893</v>
      </c>
    </row>
    <row r="67" spans="1:14" x14ac:dyDescent="0.35">
      <c r="A67" s="164"/>
      <c r="B67" s="74"/>
      <c r="N67" s="169"/>
    </row>
    <row r="68" spans="1:14" x14ac:dyDescent="0.35">
      <c r="A68" s="170">
        <v>2055</v>
      </c>
      <c r="B68" s="74">
        <f>Amortization!I46</f>
        <v>2965152.7223436772</v>
      </c>
      <c r="K68" s="169">
        <f>K66 + K66*0.05</f>
        <v>1152416.9757857213</v>
      </c>
      <c r="N68" s="169">
        <f>B68+K68</f>
        <v>4117569.6981293987</v>
      </c>
    </row>
    <row r="69" spans="1:14" x14ac:dyDescent="0.35">
      <c r="B69" s="74"/>
    </row>
    <row r="70" spans="1:14" x14ac:dyDescent="0.35">
      <c r="A70" s="172">
        <v>2056</v>
      </c>
      <c r="B70" s="74">
        <f>Amortization!I48</f>
        <v>2900379.968700246</v>
      </c>
      <c r="K70" s="169">
        <f>K68 + K68*0.05</f>
        <v>1210037.8245750074</v>
      </c>
      <c r="N70" s="169">
        <f>B70+K70</f>
        <v>4110417.7932752534</v>
      </c>
    </row>
    <row r="71" spans="1:14" x14ac:dyDescent="0.35">
      <c r="B71" s="74"/>
    </row>
    <row r="72" spans="1:14" x14ac:dyDescent="0.35">
      <c r="A72" s="172">
        <v>2057</v>
      </c>
      <c r="B72" s="74">
        <f>Amortization!I50</f>
        <v>2835607.215056818</v>
      </c>
      <c r="K72" s="169">
        <f>K70 + K70*0.05</f>
        <v>1270539.7158037578</v>
      </c>
      <c r="N72" s="169">
        <f>B72+K72</f>
        <v>4106146.9308605758</v>
      </c>
    </row>
    <row r="73" spans="1:14" x14ac:dyDescent="0.35">
      <c r="B73" s="74"/>
    </row>
    <row r="74" spans="1:14" x14ac:dyDescent="0.35">
      <c r="A74" s="172">
        <v>2058</v>
      </c>
      <c r="B74" s="74">
        <f>Amortization!I52</f>
        <v>2770834.4614133877</v>
      </c>
      <c r="K74" s="169">
        <f>K72 + K72*0.05</f>
        <v>1334066.7015939457</v>
      </c>
      <c r="N74" s="169">
        <f>B74+K74</f>
        <v>4104901.1630073334</v>
      </c>
    </row>
    <row r="75" spans="1:14" x14ac:dyDescent="0.35">
      <c r="B75" s="2"/>
    </row>
  </sheetData>
  <mergeCells count="2">
    <mergeCell ref="B3:E3"/>
    <mergeCell ref="K3:L3"/>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D7D2-21B4-47A0-BA0A-78F054A3D8D3}">
  <dimension ref="A2:M78"/>
  <sheetViews>
    <sheetView workbookViewId="0">
      <selection activeCell="K13" sqref="K13"/>
    </sheetView>
  </sheetViews>
  <sheetFormatPr defaultRowHeight="14.5" x14ac:dyDescent="0.35"/>
  <cols>
    <col min="1" max="1" width="8.7265625" style="27"/>
    <col min="2" max="3" width="7.6328125" customWidth="1"/>
    <col min="4" max="4" width="15.7265625" customWidth="1"/>
    <col min="5" max="5" width="16.81640625" customWidth="1"/>
    <col min="6" max="6" width="16.08984375" customWidth="1"/>
    <col min="8" max="8" width="15.1796875" customWidth="1"/>
    <col min="9" max="9" width="10.54296875" customWidth="1"/>
    <col min="11" max="11" width="11.81640625" customWidth="1"/>
    <col min="12" max="12" width="11.81640625" style="41" customWidth="1"/>
    <col min="13" max="13" width="16.08984375" customWidth="1"/>
  </cols>
  <sheetData>
    <row r="2" spans="1:13" x14ac:dyDescent="0.35">
      <c r="A2" s="27" t="s">
        <v>133</v>
      </c>
      <c r="E2" s="92">
        <v>3.5000000000000003E-2</v>
      </c>
      <c r="J2" t="s">
        <v>235</v>
      </c>
      <c r="M2" s="156">
        <v>10250</v>
      </c>
    </row>
    <row r="3" spans="1:13" x14ac:dyDescent="0.35">
      <c r="A3" s="27" t="s">
        <v>151</v>
      </c>
      <c r="E3" s="92">
        <v>3.5000000000000003E-2</v>
      </c>
      <c r="J3" t="s">
        <v>236</v>
      </c>
      <c r="M3" s="54">
        <v>10300</v>
      </c>
    </row>
    <row r="4" spans="1:13" x14ac:dyDescent="0.35">
      <c r="J4" t="s">
        <v>237</v>
      </c>
      <c r="M4" s="205">
        <v>21582484</v>
      </c>
    </row>
    <row r="5" spans="1:13" x14ac:dyDescent="0.35">
      <c r="M5" s="79"/>
    </row>
    <row r="7" spans="1:13" x14ac:dyDescent="0.35">
      <c r="D7" s="389" t="s">
        <v>126</v>
      </c>
      <c r="E7" s="379"/>
      <c r="F7" s="379"/>
      <c r="H7" s="378" t="s">
        <v>152</v>
      </c>
      <c r="I7" s="378"/>
      <c r="J7" s="382"/>
      <c r="K7" s="378" t="s">
        <v>153</v>
      </c>
      <c r="L7" s="378"/>
      <c r="M7" s="378"/>
    </row>
    <row r="8" spans="1:13" ht="15" thickBot="1" x14ac:dyDescent="0.4">
      <c r="A8" s="77" t="s">
        <v>3</v>
      </c>
      <c r="B8" s="78"/>
      <c r="C8" s="78"/>
      <c r="D8" s="178" t="s">
        <v>203</v>
      </c>
      <c r="E8" s="179" t="s">
        <v>219</v>
      </c>
      <c r="F8" s="180" t="s">
        <v>204</v>
      </c>
    </row>
    <row r="9" spans="1:13" x14ac:dyDescent="0.35">
      <c r="B9" s="74"/>
      <c r="C9" s="74"/>
      <c r="D9" s="74"/>
      <c r="E9" s="74"/>
      <c r="F9" s="74"/>
    </row>
    <row r="10" spans="1:13" x14ac:dyDescent="0.35">
      <c r="A10" s="170">
        <v>2024</v>
      </c>
      <c r="B10" s="74"/>
      <c r="C10" s="74"/>
      <c r="D10" s="157">
        <f>M4</f>
        <v>21582484</v>
      </c>
      <c r="E10" s="74">
        <f>M4</f>
        <v>21582484</v>
      </c>
      <c r="F10" s="48">
        <f>M4</f>
        <v>21582484</v>
      </c>
      <c r="H10" s="79">
        <f>M2</f>
        <v>10250</v>
      </c>
      <c r="K10" s="41">
        <f>M3</f>
        <v>10300</v>
      </c>
      <c r="L10"/>
    </row>
    <row r="11" spans="1:13" x14ac:dyDescent="0.35">
      <c r="B11" s="74"/>
      <c r="C11" s="74"/>
      <c r="D11" s="74"/>
      <c r="E11" s="74"/>
      <c r="K11" s="41"/>
      <c r="L11"/>
    </row>
    <row r="12" spans="1:13" x14ac:dyDescent="0.35">
      <c r="A12" s="170">
        <f>A10+1</f>
        <v>2025</v>
      </c>
      <c r="B12" s="74"/>
      <c r="C12" s="74"/>
      <c r="D12" s="83">
        <f>E12</f>
        <v>25241553</v>
      </c>
      <c r="E12" s="75">
        <v>25241553</v>
      </c>
      <c r="F12" s="43">
        <v>26091533</v>
      </c>
      <c r="H12" s="195">
        <f>M2</f>
        <v>10250</v>
      </c>
      <c r="K12" s="41">
        <f>M3</f>
        <v>10300</v>
      </c>
      <c r="L12"/>
    </row>
    <row r="13" spans="1:13" x14ac:dyDescent="0.35">
      <c r="A13" s="170"/>
      <c r="B13" s="74"/>
      <c r="C13" s="74"/>
      <c r="D13" s="74"/>
      <c r="E13" s="74"/>
      <c r="K13" s="41"/>
      <c r="L13"/>
    </row>
    <row r="14" spans="1:13" x14ac:dyDescent="0.35">
      <c r="A14" s="170">
        <f>+A12+1</f>
        <v>2026</v>
      </c>
      <c r="B14" s="74"/>
      <c r="C14" s="74"/>
      <c r="D14" s="83">
        <f>E14</f>
        <v>26306846.6277721</v>
      </c>
      <c r="E14" s="74">
        <v>26306846.6277721</v>
      </c>
      <c r="F14" s="43">
        <v>28700624.624999188</v>
      </c>
      <c r="H14" s="79">
        <f>H12*E3 +H12</f>
        <v>10608.75</v>
      </c>
      <c r="K14" s="41">
        <f>K12*E3+K12</f>
        <v>10660.5</v>
      </c>
      <c r="L14"/>
    </row>
    <row r="15" spans="1:13" x14ac:dyDescent="0.35">
      <c r="A15" s="170"/>
      <c r="B15" s="74"/>
      <c r="C15" s="74"/>
      <c r="D15" s="74"/>
      <c r="E15" s="74"/>
      <c r="K15" s="41"/>
      <c r="L15"/>
    </row>
    <row r="16" spans="1:13" x14ac:dyDescent="0.35">
      <c r="A16" s="170">
        <f>+A14+1</f>
        <v>2027</v>
      </c>
      <c r="B16" s="74"/>
      <c r="C16" s="74"/>
      <c r="D16" s="83">
        <f>E16 + OldBuildCosts!N12 + Enrollment!J17</f>
        <v>30190392.415894412</v>
      </c>
      <c r="E16" s="74">
        <v>27781418.178035799</v>
      </c>
      <c r="F16" s="43">
        <v>31570687.087499108</v>
      </c>
      <c r="H16" s="79">
        <f>H14*E3 +H14</f>
        <v>10980.05625</v>
      </c>
      <c r="K16" s="41">
        <f>K14*E3+K14</f>
        <v>11033.6175</v>
      </c>
      <c r="L16"/>
    </row>
    <row r="17" spans="1:13" x14ac:dyDescent="0.35">
      <c r="A17" s="170"/>
      <c r="B17" s="74"/>
      <c r="C17" s="74"/>
      <c r="D17" s="74"/>
      <c r="E17" s="74"/>
      <c r="K17" s="41"/>
      <c r="L17"/>
    </row>
    <row r="18" spans="1:13" x14ac:dyDescent="0.35">
      <c r="A18" s="170">
        <f>+A16+1</f>
        <v>2028</v>
      </c>
      <c r="B18" s="74"/>
      <c r="C18" s="74"/>
      <c r="D18" s="83">
        <f>E18 + OldBuildCosts!N14 + Enrollment!J19</f>
        <v>31571028.068321645</v>
      </c>
      <c r="E18" s="74">
        <v>29612355.118570101</v>
      </c>
      <c r="F18" s="43">
        <v>34727755.796249017</v>
      </c>
      <c r="H18" s="79">
        <f>H16*E3 +H16</f>
        <v>11364.35821875</v>
      </c>
      <c r="K18" s="41">
        <f>K16*E3+K16</f>
        <v>11419.7941125</v>
      </c>
      <c r="L18"/>
    </row>
    <row r="19" spans="1:13" x14ac:dyDescent="0.35">
      <c r="A19" s="170"/>
      <c r="B19" s="74"/>
      <c r="C19" s="74"/>
      <c r="D19" s="74"/>
      <c r="E19" s="74"/>
      <c r="K19" s="41"/>
      <c r="L19"/>
    </row>
    <row r="20" spans="1:13" x14ac:dyDescent="0.35">
      <c r="A20" s="170">
        <f>+A18+1</f>
        <v>2029</v>
      </c>
      <c r="B20" s="74"/>
      <c r="C20" s="74"/>
      <c r="D20" s="83">
        <f>E20 + OldBuildCosts!N16 + Enrollment!J21</f>
        <v>33609548.706201121</v>
      </c>
      <c r="E20" s="74">
        <v>30785442.108961999</v>
      </c>
      <c r="F20" s="43">
        <v>38200531.375873916</v>
      </c>
      <c r="H20" s="79">
        <f>H18*E3 +H18</f>
        <v>11762.110756406249</v>
      </c>
      <c r="K20" s="41">
        <f>K18*E3+K18</f>
        <v>11819.4869064375</v>
      </c>
      <c r="L20"/>
    </row>
    <row r="21" spans="1:13" x14ac:dyDescent="0.35">
      <c r="A21" s="170"/>
      <c r="B21" s="74"/>
      <c r="C21" s="74"/>
      <c r="D21" s="74"/>
      <c r="E21" s="74"/>
      <c r="F21" s="43"/>
      <c r="K21" s="41"/>
      <c r="L21"/>
    </row>
    <row r="22" spans="1:13" x14ac:dyDescent="0.35">
      <c r="A22" s="170">
        <f>+A20+1</f>
        <v>2030</v>
      </c>
      <c r="B22" s="74"/>
      <c r="C22" s="74"/>
      <c r="D22" s="83">
        <f>E22 + OldBuildCosts!N18 + Enrollment!J23</f>
        <v>33573244.50987675</v>
      </c>
      <c r="E22" s="74">
        <f>E20 + (E20*E2)</f>
        <v>31862932.582775671</v>
      </c>
      <c r="F22" s="43">
        <f>E22 + Enrollment!H23</f>
        <v>31862932.582775671</v>
      </c>
      <c r="H22" s="79">
        <f>H20*E3 +H20</f>
        <v>12173.784632880468</v>
      </c>
      <c r="K22" s="41">
        <f>K20*E3+K20</f>
        <v>12233.168948162813</v>
      </c>
      <c r="L22"/>
    </row>
    <row r="23" spans="1:13" x14ac:dyDescent="0.35">
      <c r="A23" s="170"/>
      <c r="B23" s="74"/>
      <c r="C23" s="74"/>
      <c r="D23" s="74"/>
      <c r="E23" s="74"/>
      <c r="F23" s="43"/>
      <c r="K23" s="41"/>
      <c r="L23"/>
    </row>
    <row r="24" spans="1:13" x14ac:dyDescent="0.35">
      <c r="A24" s="170">
        <f>+A22+1</f>
        <v>2031</v>
      </c>
      <c r="B24" s="74"/>
      <c r="C24" s="74"/>
      <c r="D24" s="83">
        <f>E24 + OldBuildCosts!N20 + Enrollment!J25</f>
        <v>34835462.746628955</v>
      </c>
      <c r="E24" s="74">
        <f>E22 + (E22*E2)</f>
        <v>32978135.223172821</v>
      </c>
      <c r="F24" s="43">
        <f>E24 + Enrollment!H25 - E7</f>
        <v>32978135.223172821</v>
      </c>
      <c r="H24" s="79">
        <f>H22*E3 +H22</f>
        <v>12599.867095031284</v>
      </c>
      <c r="K24" s="41">
        <f>K22*E3+K22</f>
        <v>12661.329861348511</v>
      </c>
      <c r="L24"/>
      <c r="M24" s="27" t="s">
        <v>226</v>
      </c>
    </row>
    <row r="25" spans="1:13" x14ac:dyDescent="0.35">
      <c r="A25" s="170"/>
      <c r="B25" s="74"/>
      <c r="C25" s="74"/>
      <c r="D25" s="74"/>
      <c r="E25" s="74"/>
      <c r="F25" s="43"/>
      <c r="K25" s="41"/>
      <c r="L25"/>
    </row>
    <row r="26" spans="1:13" x14ac:dyDescent="0.35">
      <c r="A26" s="170">
        <f>+A24+1</f>
        <v>2032</v>
      </c>
      <c r="B26" s="74"/>
      <c r="C26" s="74"/>
      <c r="D26" s="83">
        <f>E26 + OldBuildCosts!N22 + Enrollment!J27</f>
        <v>35757563.855612807</v>
      </c>
      <c r="E26" s="74">
        <f>E24 + (E24*E2)</f>
        <v>34132369.95598387</v>
      </c>
      <c r="F26" s="43">
        <f>E26 + Enrollment!H27 - M26</f>
        <v>34132369.95598387</v>
      </c>
      <c r="H26" s="79">
        <f>H24*E3 +H24</f>
        <v>13040.862443357379</v>
      </c>
      <c r="K26" s="41">
        <f>K24*E3+K24</f>
        <v>13104.476406495709</v>
      </c>
      <c r="L26"/>
      <c r="M26" s="43">
        <f xml:space="preserve"> 'Property Tax Calc'!E6</f>
        <v>0</v>
      </c>
    </row>
    <row r="27" spans="1:13" x14ac:dyDescent="0.35">
      <c r="A27" s="170"/>
      <c r="B27" s="74"/>
      <c r="C27" s="74"/>
      <c r="D27" s="74"/>
      <c r="E27" s="74"/>
      <c r="F27" s="43"/>
      <c r="K27" s="41"/>
      <c r="L27"/>
      <c r="M27" s="43"/>
    </row>
    <row r="28" spans="1:13" x14ac:dyDescent="0.35">
      <c r="A28" s="170">
        <f>+A26+1</f>
        <v>2033</v>
      </c>
      <c r="B28" s="74"/>
      <c r="C28" s="74"/>
      <c r="D28" s="83">
        <f>E28 + OldBuildCosts!N24 + Enrollment!J29</f>
        <v>37760956.499053694</v>
      </c>
      <c r="E28" s="74">
        <f>E26 + (E26*E2)</f>
        <v>35327002.904443309</v>
      </c>
      <c r="F28" s="43">
        <f>E28 + Enrollment!H29 - M28</f>
        <v>35327002.904443309</v>
      </c>
      <c r="H28" s="79">
        <f>H26*E3 +H26</f>
        <v>13497.292628874888</v>
      </c>
      <c r="K28" s="41">
        <f>K26*E3+K26</f>
        <v>13563.133080723059</v>
      </c>
      <c r="L28"/>
      <c r="M28" s="43">
        <f>M26 +M26*0.025</f>
        <v>0</v>
      </c>
    </row>
    <row r="29" spans="1:13" x14ac:dyDescent="0.35">
      <c r="A29" s="170"/>
      <c r="B29" s="74"/>
      <c r="C29" s="74"/>
      <c r="D29" s="74"/>
      <c r="E29" s="74"/>
      <c r="F29" s="43"/>
      <c r="K29" s="41"/>
      <c r="L29"/>
      <c r="M29" s="43"/>
    </row>
    <row r="30" spans="1:13" x14ac:dyDescent="0.35">
      <c r="A30" s="170">
        <f>+A28+1</f>
        <v>2034</v>
      </c>
      <c r="B30" s="74"/>
      <c r="C30" s="74"/>
      <c r="D30" s="83">
        <f>E30 + OldBuildCosts!N26 + Enrollment!J31</f>
        <v>38277099.280439727</v>
      </c>
      <c r="E30" s="74">
        <f>E28 + (E28*E2)</f>
        <v>36563448.006098822</v>
      </c>
      <c r="F30" s="43">
        <f>E30 + Enrollment!H31 - M30</f>
        <v>36563448.006098822</v>
      </c>
      <c r="H30" s="79">
        <f>H28*E3 +H28</f>
        <v>13969.697870885509</v>
      </c>
      <c r="K30" s="41">
        <f>K28*E3+K28</f>
        <v>14037.842738548366</v>
      </c>
      <c r="L30"/>
      <c r="M30" s="43">
        <f>M28 +M28*0.025</f>
        <v>0</v>
      </c>
    </row>
    <row r="31" spans="1:13" x14ac:dyDescent="0.35">
      <c r="A31" s="170"/>
      <c r="B31" s="74"/>
      <c r="C31" s="74"/>
      <c r="D31" s="74"/>
      <c r="E31" s="74"/>
      <c r="F31" s="43"/>
      <c r="K31" s="41"/>
      <c r="L31"/>
      <c r="M31" s="43"/>
    </row>
    <row r="32" spans="1:13" x14ac:dyDescent="0.35">
      <c r="A32" s="170">
        <f>+A30+1</f>
        <v>2035</v>
      </c>
      <c r="B32" s="74"/>
      <c r="C32" s="74"/>
      <c r="D32" s="83">
        <f>E32 + OldBuildCosts!N28 + Enrollment!J33</f>
        <v>40152502.524370231</v>
      </c>
      <c r="E32" s="74">
        <f>E30 + (E30*E2)</f>
        <v>37843168.686312281</v>
      </c>
      <c r="F32" s="43">
        <f>E32 + Enrollment!H33 - M32</f>
        <v>37843168.686312281</v>
      </c>
      <c r="H32" s="79">
        <f>H30*E3 +H30</f>
        <v>14458.637296366502</v>
      </c>
      <c r="K32" s="41">
        <f>K30*E3+K30</f>
        <v>14529.167234397559</v>
      </c>
      <c r="L32"/>
      <c r="M32" s="43">
        <f>M30 +M30*0.025</f>
        <v>0</v>
      </c>
    </row>
    <row r="33" spans="1:13" x14ac:dyDescent="0.35">
      <c r="A33" s="170"/>
      <c r="B33" s="74"/>
      <c r="C33" s="74"/>
      <c r="D33" s="74"/>
      <c r="E33" s="74"/>
      <c r="F33" s="43"/>
      <c r="K33" s="41"/>
      <c r="L33"/>
      <c r="M33" s="43"/>
    </row>
    <row r="34" spans="1:13" x14ac:dyDescent="0.35">
      <c r="A34" s="170">
        <f>+A32+1</f>
        <v>2036</v>
      </c>
      <c r="B34" s="74"/>
      <c r="C34" s="74"/>
      <c r="D34" s="83">
        <f>E34 + OldBuildCosts!N30 + Enrollment!J35</f>
        <v>43819565.161862895</v>
      </c>
      <c r="E34" s="74">
        <f>E32 + (E32*E2)</f>
        <v>39167679.590333208</v>
      </c>
      <c r="F34" s="43">
        <f>E34 + Enrollment!H35 - M34</f>
        <v>39167679.590333208</v>
      </c>
      <c r="H34" s="79">
        <f>H32*E3 +H32</f>
        <v>14964.68960173933</v>
      </c>
      <c r="K34" s="41">
        <f>K32*E3+K32</f>
        <v>15037.688087601473</v>
      </c>
      <c r="L34"/>
      <c r="M34" s="43">
        <f>M32 +M32*0.025</f>
        <v>0</v>
      </c>
    </row>
    <row r="35" spans="1:13" x14ac:dyDescent="0.35">
      <c r="A35" s="170"/>
      <c r="B35" s="74"/>
      <c r="C35" s="74"/>
      <c r="D35" s="74"/>
      <c r="E35" s="74"/>
      <c r="F35" s="43"/>
      <c r="K35" s="41"/>
      <c r="L35"/>
      <c r="M35" s="43"/>
    </row>
    <row r="36" spans="1:13" x14ac:dyDescent="0.35">
      <c r="A36" s="170">
        <f>+A34+1</f>
        <v>2037</v>
      </c>
      <c r="B36" s="74"/>
      <c r="C36" s="74"/>
      <c r="D36" s="83">
        <f>E36 + OldBuildCosts!N32 + Enrollment!J37</f>
        <v>45148463.720379166</v>
      </c>
      <c r="E36" s="74">
        <f>E34 + (E34*E2)</f>
        <v>40538548.375994869</v>
      </c>
      <c r="F36" s="43">
        <f>E36 + Enrollment!H37 - M36</f>
        <v>40538548.375994869</v>
      </c>
      <c r="H36" s="79">
        <f>H34*E3 +H34</f>
        <v>15488.453737800206</v>
      </c>
      <c r="K36" s="41">
        <f>K34*E3+K34</f>
        <v>15564.007170667524</v>
      </c>
      <c r="L36"/>
      <c r="M36" s="43">
        <f>M34 +M34*0.025</f>
        <v>0</v>
      </c>
    </row>
    <row r="37" spans="1:13" x14ac:dyDescent="0.35">
      <c r="A37" s="170"/>
      <c r="B37" s="74"/>
      <c r="C37" s="74"/>
      <c r="D37" s="74"/>
      <c r="E37" s="74"/>
      <c r="F37" s="43"/>
      <c r="K37" s="41"/>
      <c r="L37"/>
      <c r="M37" s="43"/>
    </row>
    <row r="38" spans="1:13" x14ac:dyDescent="0.35">
      <c r="A38" s="170">
        <f>+A36+1</f>
        <v>2038</v>
      </c>
      <c r="B38" s="74"/>
      <c r="C38" s="74"/>
      <c r="D38" s="83">
        <f>E38 + OldBuildCosts!N34 + Enrollment!J39</f>
        <v>46526482.812718503</v>
      </c>
      <c r="E38" s="74">
        <f>E36 + (E36*E2)</f>
        <v>41957397.569154687</v>
      </c>
      <c r="F38" s="43">
        <f>E38 + Enrollment!H39 - M38</f>
        <v>41957397.569154687</v>
      </c>
      <c r="H38" s="79">
        <f>H36*E3 +H36</f>
        <v>16030.549618623214</v>
      </c>
      <c r="K38" s="41">
        <f>K36*E3+K36</f>
        <v>16108.747421640888</v>
      </c>
      <c r="L38"/>
      <c r="M38" s="43">
        <f>M36 +M36*0.025</f>
        <v>0</v>
      </c>
    </row>
    <row r="39" spans="1:13" x14ac:dyDescent="0.35">
      <c r="A39" s="170"/>
      <c r="B39" s="74"/>
      <c r="C39" s="74"/>
      <c r="D39" s="74"/>
      <c r="E39" s="74"/>
      <c r="F39" s="43"/>
      <c r="K39" s="41"/>
      <c r="L39"/>
      <c r="M39" s="43"/>
    </row>
    <row r="40" spans="1:13" x14ac:dyDescent="0.35">
      <c r="A40" s="170">
        <f>+A38+1</f>
        <v>2039</v>
      </c>
      <c r="B40" s="74"/>
      <c r="C40" s="74"/>
      <c r="D40" s="83">
        <f>E40 + OldBuildCosts!N36 + Enrollment!J41</f>
        <v>47955358.759459578</v>
      </c>
      <c r="E40" s="74">
        <f>E38 + (E38*E2)</f>
        <v>43425906.484075099</v>
      </c>
      <c r="F40" s="43">
        <f>E40 + Enrollment!H41 - M40</f>
        <v>43425906.484075099</v>
      </c>
      <c r="H40" s="79">
        <f>H38*E3 +H38</f>
        <v>16591.618855275028</v>
      </c>
      <c r="K40" s="41">
        <f>K38*E3+K38</f>
        <v>16672.553581398319</v>
      </c>
      <c r="L40"/>
      <c r="M40" s="43">
        <f>M38 +M38*0.025</f>
        <v>0</v>
      </c>
    </row>
    <row r="41" spans="1:13" x14ac:dyDescent="0.35">
      <c r="A41" s="170"/>
      <c r="B41" s="74"/>
      <c r="C41" s="74"/>
      <c r="D41" s="74"/>
      <c r="E41" s="74"/>
      <c r="F41" s="43"/>
      <c r="K41" s="41"/>
      <c r="L41"/>
      <c r="M41" s="43"/>
    </row>
    <row r="42" spans="1:13" x14ac:dyDescent="0.35">
      <c r="A42" s="170">
        <f>+A40+1</f>
        <v>2040</v>
      </c>
      <c r="B42" s="74"/>
      <c r="C42" s="74"/>
      <c r="D42" s="83">
        <f>E42 + OldBuildCosts!N38 + Enrollment!J43</f>
        <v>49436889.507496074</v>
      </c>
      <c r="E42" s="74">
        <f>E40 + (E40*E2)</f>
        <v>44945813.211017728</v>
      </c>
      <c r="F42" s="43">
        <f>E42 + Enrollment!H43 - M42</f>
        <v>44945813.211017728</v>
      </c>
      <c r="H42" s="79">
        <f>H40*E3 +H40</f>
        <v>17172.325515209654</v>
      </c>
      <c r="K42" s="41">
        <f>K40*E3+K40</f>
        <v>17256.092956747259</v>
      </c>
      <c r="L42"/>
      <c r="M42" s="43">
        <f>M40 +M40*0.025</f>
        <v>0</v>
      </c>
    </row>
    <row r="43" spans="1:13" x14ac:dyDescent="0.35">
      <c r="A43" s="170"/>
      <c r="B43" s="74"/>
      <c r="C43" s="74"/>
      <c r="D43" s="74"/>
      <c r="E43" s="74"/>
      <c r="F43" s="43"/>
      <c r="K43" s="41"/>
      <c r="L43"/>
      <c r="M43" s="43"/>
    </row>
    <row r="44" spans="1:13" x14ac:dyDescent="0.35">
      <c r="A44" s="170">
        <f>+A42+1</f>
        <v>2041</v>
      </c>
      <c r="B44" s="74"/>
      <c r="C44" s="74"/>
      <c r="D44" s="83">
        <f>E44 + OldBuildCosts!N40 + Enrollment!J45</f>
        <v>50972936.829712421</v>
      </c>
      <c r="E44" s="74">
        <f>E42 + (E42*E2)</f>
        <v>46518916.673403345</v>
      </c>
      <c r="F44" s="43">
        <f>E44 + Enrollment!H45 - M44</f>
        <v>46518916.673403345</v>
      </c>
      <c r="H44" s="79">
        <f>H42*E3 +H42</f>
        <v>17773.356908241993</v>
      </c>
      <c r="K44" s="41">
        <f>K42*E3+K42</f>
        <v>17860.056210233415</v>
      </c>
      <c r="L44"/>
      <c r="M44" s="43">
        <f>M42 +M42*0.025</f>
        <v>0</v>
      </c>
    </row>
    <row r="45" spans="1:13" x14ac:dyDescent="0.35">
      <c r="A45" s="170"/>
      <c r="B45" s="74"/>
      <c r="C45" s="74"/>
      <c r="D45" s="74"/>
      <c r="E45" s="74"/>
      <c r="F45" s="43"/>
      <c r="K45" s="41"/>
      <c r="L45"/>
      <c r="M45" s="43"/>
    </row>
    <row r="46" spans="1:13" x14ac:dyDescent="0.35">
      <c r="A46" s="170">
        <f>+A44+1</f>
        <v>2042</v>
      </c>
      <c r="B46" s="74"/>
      <c r="C46" s="74"/>
      <c r="D46" s="83">
        <f>E46 + OldBuildCosts!N42 + Enrollment!J47</f>
        <v>52565428.603785977</v>
      </c>
      <c r="E46" s="74">
        <f>E44 + (E44*E2)</f>
        <v>48147078.756972462</v>
      </c>
      <c r="F46" s="43">
        <f>E46 + Enrollment!H47 - M46</f>
        <v>48147078.756972462</v>
      </c>
      <c r="H46" s="79">
        <f>H44*E3 +H44</f>
        <v>18395.424400030461</v>
      </c>
      <c r="K46" s="41">
        <f>K44*E3+K44</f>
        <v>18485.158177591584</v>
      </c>
      <c r="L46"/>
      <c r="M46" s="43">
        <f>M44 +M44*0.025</f>
        <v>0</v>
      </c>
    </row>
    <row r="47" spans="1:13" x14ac:dyDescent="0.35">
      <c r="A47" s="170"/>
      <c r="B47" s="74"/>
      <c r="C47" s="74"/>
      <c r="D47" s="74"/>
      <c r="E47" s="74"/>
      <c r="F47" s="43"/>
      <c r="K47" s="41"/>
      <c r="L47"/>
      <c r="M47" s="43"/>
    </row>
    <row r="48" spans="1:13" x14ac:dyDescent="0.35">
      <c r="A48" s="170">
        <f>+A46+1</f>
        <v>2043</v>
      </c>
      <c r="B48" s="74"/>
      <c r="C48" s="74"/>
      <c r="D48" s="83">
        <f>E48 + OldBuildCosts!N44 + Enrollment!J49</f>
        <v>54216361.172991849</v>
      </c>
      <c r="E48" s="74">
        <f>E46 + (E46*E2)</f>
        <v>49832226.5134665</v>
      </c>
      <c r="F48" s="43">
        <f>E48 + Enrollment!H49 - M48</f>
        <v>49832226.5134665</v>
      </c>
      <c r="H48" s="79">
        <f>H46*E3 +H46</f>
        <v>19039.264254031528</v>
      </c>
      <c r="K48" s="41">
        <f>K46*E3+K46</f>
        <v>19132.13871380729</v>
      </c>
      <c r="L48"/>
      <c r="M48" s="43">
        <f>M46 +M46*0.025</f>
        <v>0</v>
      </c>
    </row>
    <row r="49" spans="1:13" x14ac:dyDescent="0.35">
      <c r="A49" s="170"/>
      <c r="B49" s="74"/>
      <c r="C49" s="74"/>
      <c r="D49" s="74"/>
      <c r="E49" s="74"/>
      <c r="F49" s="43"/>
      <c r="K49" s="41"/>
      <c r="L49"/>
      <c r="M49" s="43"/>
    </row>
    <row r="50" spans="1:13" x14ac:dyDescent="0.35">
      <c r="A50" s="170">
        <f>+A48+1</f>
        <v>2044</v>
      </c>
      <c r="B50" s="74"/>
      <c r="C50" s="74"/>
      <c r="D50" s="83">
        <f>E50 + OldBuildCosts!N46 + Enrollment!J51</f>
        <v>55927801.791992769</v>
      </c>
      <c r="E50" s="74">
        <f>E48 + (E48*E2)</f>
        <v>51576354.441437826</v>
      </c>
      <c r="F50" s="43">
        <f>E50 + Enrollment!H51 - M50</f>
        <v>51576354.441437826</v>
      </c>
      <c r="H50" s="79">
        <f>H48*E3 +H48</f>
        <v>19705.638502922633</v>
      </c>
      <c r="K50" s="41">
        <f>K48*E3+K48</f>
        <v>19801.763568790546</v>
      </c>
      <c r="L50"/>
      <c r="M50" s="43">
        <f>M48 +M48*0.025</f>
        <v>0</v>
      </c>
    </row>
    <row r="51" spans="1:13" x14ac:dyDescent="0.35">
      <c r="A51" s="170"/>
      <c r="B51" s="74"/>
      <c r="C51" s="74"/>
      <c r="D51" s="74"/>
      <c r="E51" s="74"/>
      <c r="F51" s="43"/>
      <c r="K51" s="41"/>
      <c r="L51"/>
      <c r="M51" s="43"/>
    </row>
    <row r="52" spans="1:13" x14ac:dyDescent="0.35">
      <c r="A52" s="170">
        <f>+A50+1</f>
        <v>2045</v>
      </c>
      <c r="B52" s="74"/>
      <c r="C52" s="74"/>
      <c r="D52" s="83">
        <f>E52 + OldBuildCosts!N48 + Enrollment!J53</f>
        <v>57701891.160706341</v>
      </c>
      <c r="E52" s="74">
        <f>E50 + (E50*E2)</f>
        <v>53381526.846888147</v>
      </c>
      <c r="F52" s="43">
        <f>E52 + Enrollment!H53 - M52</f>
        <v>53381526.846888147</v>
      </c>
      <c r="H52" s="79">
        <f>H50*E3 +H50</f>
        <v>20395.335850524927</v>
      </c>
      <c r="K52" s="41">
        <f>K50*E3+K50</f>
        <v>20494.825293698213</v>
      </c>
      <c r="L52"/>
      <c r="M52" s="43">
        <f>M50 +M50*0.025</f>
        <v>0</v>
      </c>
    </row>
    <row r="53" spans="1:13" x14ac:dyDescent="0.35">
      <c r="A53" s="170"/>
      <c r="B53" s="74"/>
      <c r="C53" s="74"/>
      <c r="D53" s="74"/>
      <c r="E53" s="74"/>
      <c r="F53" s="43"/>
      <c r="K53" s="41"/>
      <c r="L53"/>
      <c r="M53" s="43"/>
    </row>
    <row r="54" spans="1:13" x14ac:dyDescent="0.35">
      <c r="A54" s="170">
        <f>+A52+1</f>
        <v>2046</v>
      </c>
      <c r="B54" s="74"/>
      <c r="C54" s="74"/>
      <c r="D54" s="83">
        <f>E54 + OldBuildCosts!N50 + Enrollment!J55</f>
        <v>59540846.049456008</v>
      </c>
      <c r="E54" s="74">
        <f>E52 + (E52*E2)</f>
        <v>55249880.286529236</v>
      </c>
      <c r="F54" s="43">
        <f>E54 + Enrollment!H55 - M54</f>
        <v>55249880.286529236</v>
      </c>
      <c r="H54" s="79">
        <f>H52*E3 +H52</f>
        <v>21109.172605293301</v>
      </c>
      <c r="K54" s="41">
        <f>K52*E3+K52</f>
        <v>21212.144178977651</v>
      </c>
      <c r="L54"/>
      <c r="M54" s="43">
        <f>M52 +M52*0.025</f>
        <v>0</v>
      </c>
    </row>
    <row r="55" spans="1:13" x14ac:dyDescent="0.35">
      <c r="A55" s="170"/>
      <c r="B55" s="74"/>
      <c r="C55" s="74"/>
      <c r="D55" s="74"/>
      <c r="E55" s="74"/>
      <c r="F55" s="43"/>
      <c r="K55" s="41"/>
      <c r="L55"/>
      <c r="M55" s="43"/>
    </row>
    <row r="56" spans="1:13" x14ac:dyDescent="0.35">
      <c r="A56" s="170">
        <f>+A54+1</f>
        <v>2047</v>
      </c>
      <c r="B56" s="74"/>
      <c r="C56" s="74"/>
      <c r="D56" s="83">
        <f>E56 + OldBuildCosts!N52 + Enrollment!J57</f>
        <v>61446962.018730715</v>
      </c>
      <c r="E56" s="74">
        <f>E54 + (E54*E2)</f>
        <v>57183626.096557759</v>
      </c>
      <c r="F56" s="43">
        <f>E56 + Enrollment!H57 - M56</f>
        <v>57183626.096557759</v>
      </c>
      <c r="H56" s="79">
        <f>H54*E3 +H54</f>
        <v>21847.993646478568</v>
      </c>
      <c r="K56" s="41">
        <f>K54*E3+K54</f>
        <v>21954.56922524187</v>
      </c>
      <c r="L56"/>
      <c r="M56" s="43">
        <f>M54 +M54*0.025</f>
        <v>0</v>
      </c>
    </row>
    <row r="57" spans="1:13" x14ac:dyDescent="0.35">
      <c r="A57" s="170"/>
      <c r="B57" s="74"/>
      <c r="C57" s="74"/>
      <c r="D57" s="74"/>
      <c r="E57" s="74"/>
      <c r="F57" s="43"/>
      <c r="K57" s="41"/>
      <c r="L57"/>
      <c r="M57" s="43"/>
    </row>
    <row r="58" spans="1:13" x14ac:dyDescent="0.35">
      <c r="A58" s="170">
        <f>+A56+1</f>
        <v>2048</v>
      </c>
      <c r="B58" s="74"/>
      <c r="C58" s="74"/>
      <c r="D58" s="83">
        <f>E58 + OldBuildCosts!N54 + Enrollment!J59</f>
        <v>63422616.23700089</v>
      </c>
      <c r="E58" s="74">
        <f>E56 + (E56*E2)</f>
        <v>59185053.009937279</v>
      </c>
      <c r="F58" s="43">
        <f>E58 + Enrollment!H59 - M58</f>
        <v>59185053.009937279</v>
      </c>
      <c r="H58" s="79">
        <f>H56*E3 +H56</f>
        <v>22612.673424105316</v>
      </c>
      <c r="K58" s="41">
        <f>K56*E3+K56</f>
        <v>22722.979148125334</v>
      </c>
      <c r="L58"/>
      <c r="M58" s="43">
        <f>M56 +M56*0.025</f>
        <v>0</v>
      </c>
    </row>
    <row r="59" spans="1:13" x14ac:dyDescent="0.35">
      <c r="A59" s="170"/>
      <c r="B59" s="74"/>
      <c r="C59" s="74"/>
      <c r="D59" s="74"/>
      <c r="E59" s="74"/>
      <c r="F59" s="43"/>
      <c r="K59" s="41"/>
      <c r="L59"/>
      <c r="M59" s="43"/>
    </row>
    <row r="60" spans="1:13" x14ac:dyDescent="0.35">
      <c r="A60" s="170">
        <f>+A58+1</f>
        <v>2049</v>
      </c>
      <c r="B60" s="74"/>
      <c r="C60" s="74"/>
      <c r="D60" s="83">
        <f>E60 + OldBuildCosts!N56 + Enrollment!J61</f>
        <v>65470270.400166065</v>
      </c>
      <c r="E60" s="74">
        <f>E58 + (E58*E2)</f>
        <v>61256529.865285084</v>
      </c>
      <c r="F60" s="43">
        <f>E60 + Enrollment!H61 - M60</f>
        <v>61256529.865285084</v>
      </c>
      <c r="H60" s="79">
        <f>H58*E3 +H58</f>
        <v>23404.116993949003</v>
      </c>
      <c r="K60" s="41">
        <f>K58*E3+K58</f>
        <v>23518.283418309722</v>
      </c>
      <c r="L60"/>
      <c r="M60" s="43">
        <f>M58 +M58*0.025</f>
        <v>0</v>
      </c>
    </row>
    <row r="61" spans="1:13" x14ac:dyDescent="0.35">
      <c r="A61" s="170"/>
      <c r="B61" s="74"/>
      <c r="C61" s="74"/>
      <c r="D61" s="74"/>
      <c r="E61" s="74"/>
      <c r="F61" s="43"/>
      <c r="K61" s="41"/>
      <c r="L61"/>
      <c r="M61" s="43"/>
    </row>
    <row r="62" spans="1:13" x14ac:dyDescent="0.35">
      <c r="A62" s="170">
        <f>+A60+1</f>
        <v>2050</v>
      </c>
      <c r="B62" s="74"/>
      <c r="C62" s="74"/>
      <c r="D62" s="83">
        <f>E62 + OldBuildCosts!N58 + Enrollment!J63</f>
        <v>67592473.756341442</v>
      </c>
      <c r="E62" s="74">
        <f>E60 + (E60*E2)</f>
        <v>63400508.410570063</v>
      </c>
      <c r="F62" s="43">
        <f>E62 + Enrollment!H63 - M62</f>
        <v>63400508.410570063</v>
      </c>
      <c r="H62" s="79">
        <f>H60*E3 +H60</f>
        <v>24223.261088737218</v>
      </c>
      <c r="K62" s="41">
        <f>K60*E3+K60</f>
        <v>24341.423337950564</v>
      </c>
      <c r="L62"/>
      <c r="M62" s="43">
        <f>M60 +M60*0.025</f>
        <v>0</v>
      </c>
    </row>
    <row r="63" spans="1:13" x14ac:dyDescent="0.35">
      <c r="A63" s="170"/>
      <c r="B63" s="74"/>
      <c r="C63" s="74"/>
      <c r="D63" s="74"/>
      <c r="E63" s="74"/>
      <c r="F63" s="43"/>
      <c r="K63" s="41"/>
      <c r="L63"/>
      <c r="M63" s="43"/>
    </row>
    <row r="64" spans="1:13" x14ac:dyDescent="0.35">
      <c r="A64" s="170">
        <f>+A62+1</f>
        <v>2051</v>
      </c>
      <c r="B64" s="74"/>
      <c r="C64" s="74"/>
      <c r="D64" s="83">
        <f>E64 + OldBuildCosts!N60 + Enrollment!J65</f>
        <v>69791866.239828497</v>
      </c>
      <c r="E64" s="74">
        <f>E62 + (E62*E2)</f>
        <v>65619526.204940014</v>
      </c>
      <c r="F64" s="43">
        <f>E64 + Enrollment!H65 - M64</f>
        <v>65619526.204940014</v>
      </c>
      <c r="H64" s="79">
        <f>H62*E3 +H62</f>
        <v>25071.075226843019</v>
      </c>
      <c r="K64" s="41">
        <f>K62*E3+K62</f>
        <v>25193.373154778834</v>
      </c>
      <c r="L64"/>
      <c r="M64" s="43">
        <f>M62 +M62*0.025</f>
        <v>0</v>
      </c>
    </row>
    <row r="65" spans="1:13" x14ac:dyDescent="0.35">
      <c r="A65" s="170"/>
      <c r="B65" s="74"/>
      <c r="C65" s="74"/>
      <c r="D65" s="74"/>
      <c r="E65" s="74"/>
      <c r="F65" s="43"/>
      <c r="K65" s="41"/>
      <c r="L65"/>
      <c r="M65" s="43"/>
    </row>
    <row r="66" spans="1:13" x14ac:dyDescent="0.35">
      <c r="A66" s="170">
        <f>+A64+1</f>
        <v>2052</v>
      </c>
      <c r="B66" s="74"/>
      <c r="C66" s="74"/>
      <c r="D66" s="83">
        <f>E66 + OldBuildCosts!N62 + Enrollment!J67</f>
        <v>72071181.718256533</v>
      </c>
      <c r="E66" s="74">
        <f>E64 + (E64*E2)</f>
        <v>67916209.622112915</v>
      </c>
      <c r="F66" s="43">
        <f>E66 + Enrollment!H67 - M66</f>
        <v>67916209.622112915</v>
      </c>
      <c r="H66" s="79">
        <f>H64*E3 +H64</f>
        <v>25948.562859782523</v>
      </c>
      <c r="K66" s="41">
        <f>K64*E3+K64</f>
        <v>26075.141215196094</v>
      </c>
      <c r="L66"/>
      <c r="M66" s="43">
        <f>M64 +M64*0.025</f>
        <v>0</v>
      </c>
    </row>
    <row r="67" spans="1:13" x14ac:dyDescent="0.35">
      <c r="A67" s="170"/>
      <c r="B67" s="74"/>
      <c r="C67" s="74"/>
      <c r="D67" s="74"/>
      <c r="E67" s="74"/>
      <c r="F67" s="43"/>
      <c r="K67" s="41"/>
      <c r="L67"/>
      <c r="M67" s="43"/>
    </row>
    <row r="68" spans="1:13" x14ac:dyDescent="0.35">
      <c r="A68" s="170">
        <f>+A66+1</f>
        <v>2053</v>
      </c>
      <c r="B68" s="74"/>
      <c r="C68" s="74"/>
      <c r="D68" s="83">
        <f>E68 + OldBuildCosts!N64 + Enrollment!J69</f>
        <v>74433251.357030526</v>
      </c>
      <c r="E68" s="74">
        <f>E66 + (E66*E2)</f>
        <v>70293276.958886862</v>
      </c>
      <c r="F68" s="43">
        <f>E68 + Enrollment!H69 - M68</f>
        <v>70293276.958886862</v>
      </c>
      <c r="H68" s="79">
        <f>H66*E3 +H66</f>
        <v>26856.762559874911</v>
      </c>
      <c r="K68" s="41">
        <f>K66*E3+K66</f>
        <v>26987.771157727959</v>
      </c>
      <c r="L68"/>
      <c r="M68" s="43">
        <f>M66 +M66*0.025</f>
        <v>0</v>
      </c>
    </row>
    <row r="69" spans="1:13" x14ac:dyDescent="0.35">
      <c r="A69" s="170"/>
      <c r="B69" s="74"/>
      <c r="C69" s="74"/>
      <c r="D69" s="74"/>
      <c r="E69" s="74"/>
      <c r="F69" s="43"/>
      <c r="K69" s="41"/>
      <c r="L69"/>
      <c r="M69" s="43"/>
    </row>
    <row r="70" spans="1:13" x14ac:dyDescent="0.35">
      <c r="A70" s="170">
        <f>+A68+1</f>
        <v>2054</v>
      </c>
      <c r="B70" s="74"/>
      <c r="C70" s="74"/>
      <c r="D70" s="83">
        <f>E70 + OldBuildCosts!N66 + Enrollment!J71</f>
        <v>76881007.1053738</v>
      </c>
      <c r="E70" s="74">
        <f>E68 + (E68*E2)</f>
        <v>72753541.652447909</v>
      </c>
      <c r="F70" s="43">
        <f>E70 + Enrollment!H71 - M70</f>
        <v>72753541.652447909</v>
      </c>
      <c r="H70" s="79">
        <f>H68*E3 +H68</f>
        <v>27796.749249470533</v>
      </c>
      <c r="K70" s="41">
        <f>K68*E3+K68</f>
        <v>27932.343148248438</v>
      </c>
      <c r="L70"/>
      <c r="M70" s="43">
        <f>M68 +M68*0.025</f>
        <v>0</v>
      </c>
    </row>
    <row r="71" spans="1:13" x14ac:dyDescent="0.35">
      <c r="A71" s="170"/>
      <c r="B71" s="74"/>
      <c r="C71" s="74"/>
      <c r="D71" s="74"/>
      <c r="E71" s="74"/>
      <c r="F71" s="43">
        <f>E71 + Enrollment!H72</f>
        <v>0</v>
      </c>
      <c r="K71" s="41"/>
      <c r="L71"/>
      <c r="M71" s="43"/>
    </row>
    <row r="72" spans="1:13" x14ac:dyDescent="0.35">
      <c r="A72" s="170">
        <f>+A70+1</f>
        <v>2055</v>
      </c>
      <c r="B72" s="74"/>
      <c r="C72" s="74"/>
      <c r="D72" s="83">
        <f>E72 + OldBuildCosts!N68 + Enrollment!J73</f>
        <v>79417485.308412984</v>
      </c>
      <c r="E72" s="74">
        <f>E70 + (E70*E2)</f>
        <v>75299915.610283583</v>
      </c>
      <c r="F72" s="43">
        <f>E72 + Enrollment!H73 - M72</f>
        <v>75299915.610283583</v>
      </c>
      <c r="H72" s="79">
        <f>H70*E3 +H70</f>
        <v>28769.635473202001</v>
      </c>
      <c r="K72" s="41">
        <f>K70*E3+K70</f>
        <v>28909.975158437133</v>
      </c>
      <c r="L72"/>
      <c r="M72" s="43">
        <f>M70 +M70*0.025</f>
        <v>0</v>
      </c>
    </row>
    <row r="73" spans="1:13" x14ac:dyDescent="0.35">
      <c r="F73" s="43">
        <f>E73 + Enrollment!H74</f>
        <v>0</v>
      </c>
      <c r="K73" s="41"/>
      <c r="L73"/>
      <c r="M73" s="43"/>
    </row>
    <row r="74" spans="1:13" x14ac:dyDescent="0.35">
      <c r="A74" s="170">
        <f>+A72+1</f>
        <v>2056</v>
      </c>
      <c r="D74" s="83">
        <f>E74 + OldBuildCosts!N70 + Enrollment!J75</f>
        <v>82045830.449918762</v>
      </c>
      <c r="E74" s="74">
        <f>E72 + (E72*E2)</f>
        <v>77935412.65664351</v>
      </c>
      <c r="F74" s="43">
        <f>E74 + Enrollment!H75 - M74</f>
        <v>77935412.65664351</v>
      </c>
      <c r="H74" s="79">
        <f>H72*E3 +H72</f>
        <v>29776.572714764072</v>
      </c>
      <c r="K74" s="41">
        <f>K72*E3+K72</f>
        <v>29921.824288982432</v>
      </c>
      <c r="L74"/>
      <c r="M74" s="43">
        <f>M72 +M72*0.025</f>
        <v>0</v>
      </c>
    </row>
    <row r="75" spans="1:13" x14ac:dyDescent="0.35">
      <c r="F75" s="43">
        <f>E75 + Enrollment!H76</f>
        <v>0</v>
      </c>
      <c r="K75" s="41"/>
      <c r="L75"/>
      <c r="M75" s="43"/>
    </row>
    <row r="76" spans="1:13" x14ac:dyDescent="0.35">
      <c r="A76" s="170">
        <f>+A74+1</f>
        <v>2057</v>
      </c>
      <c r="D76" s="83">
        <f>E76 + OldBuildCosts!N72 + Enrollment!J77</f>
        <v>84769299.030486614</v>
      </c>
      <c r="E76" s="74">
        <f>E74 + (E74*E2)</f>
        <v>80663152.099626034</v>
      </c>
      <c r="F76" s="43">
        <f>E76 + Enrollment!H77 - M76</f>
        <v>80663152.099626034</v>
      </c>
      <c r="H76" s="79">
        <f>H74*E3 +H74</f>
        <v>30818.752759780815</v>
      </c>
      <c r="K76" s="41">
        <f>K74*E3+K74</f>
        <v>30969.088139096817</v>
      </c>
      <c r="L76"/>
      <c r="M76" s="43">
        <f>M74 +M74*0.025</f>
        <v>0</v>
      </c>
    </row>
    <row r="77" spans="1:13" x14ac:dyDescent="0.35">
      <c r="F77" s="43">
        <f>E77 + Enrollment!H78</f>
        <v>0</v>
      </c>
      <c r="K77" s="41"/>
      <c r="L77"/>
      <c r="M77" s="43"/>
    </row>
    <row r="78" spans="1:13" x14ac:dyDescent="0.35">
      <c r="A78" s="170">
        <f>+A76+1</f>
        <v>2058</v>
      </c>
      <c r="D78" s="83">
        <f>E78 + OldBuildCosts!N74 + Enrollment!J79</f>
        <v>87591263.586120278</v>
      </c>
      <c r="E78" s="74">
        <f>E76 + (E76*E2)</f>
        <v>83486362.423112944</v>
      </c>
      <c r="F78" s="43">
        <f>E78 + Enrollment!H79 - M78</f>
        <v>83486362.423112944</v>
      </c>
      <c r="H78" s="79">
        <f>H76*E3 +H76</f>
        <v>31897.409106373143</v>
      </c>
      <c r="K78" s="41">
        <f>K76*E3+K76</f>
        <v>32053.006223965207</v>
      </c>
      <c r="L78"/>
      <c r="M78" s="43">
        <f>M76 +M76*0.025</f>
        <v>0</v>
      </c>
    </row>
  </sheetData>
  <mergeCells count="3">
    <mergeCell ref="D7:F7"/>
    <mergeCell ref="H7:J7"/>
    <mergeCell ref="K7:M7"/>
  </mergeCells>
  <pageMargins left="0.7" right="0.7" top="0.75" bottom="0.75" header="0.3" footer="0.3"/>
  <pageSetup orientation="portrait" r:id="rId1"/>
  <ignoredErrors>
    <ignoredError sqref="D12:D15 D17 D19 D21 D23 D25 D27 D29 D31 D33 D35 D37 D39 D41 D43 D45 D47 D49 D51 D53 D55 D57 D59 D61 D63 D65 D67 D69 D71 D73 D75 D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E524-DA78-4C71-984F-EEC983DDD921}">
  <dimension ref="A2:O91"/>
  <sheetViews>
    <sheetView zoomScaleNormal="100" workbookViewId="0">
      <selection activeCell="E2" sqref="E2"/>
    </sheetView>
  </sheetViews>
  <sheetFormatPr defaultRowHeight="14.5" x14ac:dyDescent="0.35"/>
  <cols>
    <col min="2" max="3" width="7.6328125" customWidth="1"/>
    <col min="4" max="4" width="16.6328125" customWidth="1"/>
    <col min="5" max="5" width="14.54296875" customWidth="1"/>
    <col min="6" max="6" width="8.6328125" customWidth="1"/>
    <col min="7" max="7" width="17.36328125" customWidth="1"/>
    <col min="8" max="8" width="8.08984375" customWidth="1"/>
    <col min="9" max="9" width="13" customWidth="1"/>
    <col min="11" max="11" width="12" customWidth="1"/>
    <col min="12" max="12" width="16.08984375" customWidth="1"/>
    <col min="15" max="15" width="12.90625" customWidth="1"/>
  </cols>
  <sheetData>
    <row r="2" spans="1:15" x14ac:dyDescent="0.35">
      <c r="A2" s="27" t="s">
        <v>135</v>
      </c>
      <c r="E2" s="92">
        <v>0</v>
      </c>
      <c r="I2" s="92">
        <v>0</v>
      </c>
    </row>
    <row r="3" spans="1:15" x14ac:dyDescent="0.35">
      <c r="A3" s="27" t="s">
        <v>136</v>
      </c>
      <c r="E3" s="92">
        <v>0</v>
      </c>
      <c r="I3" s="92">
        <f>E3</f>
        <v>0</v>
      </c>
    </row>
    <row r="4" spans="1:15" x14ac:dyDescent="0.35">
      <c r="I4" s="94"/>
    </row>
    <row r="5" spans="1:15" x14ac:dyDescent="0.35">
      <c r="E5" s="390" t="s">
        <v>254</v>
      </c>
      <c r="F5" s="391"/>
      <c r="G5" s="392"/>
      <c r="H5" s="390" t="s">
        <v>255</v>
      </c>
      <c r="I5" s="391"/>
      <c r="J5" s="391"/>
      <c r="K5" s="392"/>
    </row>
    <row r="6" spans="1:15" x14ac:dyDescent="0.35">
      <c r="D6" s="389" t="s">
        <v>137</v>
      </c>
      <c r="E6" s="379"/>
      <c r="F6" s="379"/>
      <c r="G6" s="89" t="s">
        <v>140</v>
      </c>
      <c r="H6" s="94"/>
      <c r="L6" t="s">
        <v>138</v>
      </c>
      <c r="O6" s="122">
        <f>'Property Tax Calc'!E49</f>
        <v>549882.16810683429</v>
      </c>
    </row>
    <row r="7" spans="1:15" ht="15" thickBot="1" x14ac:dyDescent="0.4">
      <c r="A7" s="77" t="s">
        <v>3</v>
      </c>
      <c r="B7" s="78"/>
      <c r="C7" s="78"/>
      <c r="D7" s="78"/>
      <c r="E7" s="88"/>
      <c r="L7" t="s">
        <v>139</v>
      </c>
      <c r="O7" s="41">
        <f>'Property Tax Calc'!E48</f>
        <v>150000</v>
      </c>
    </row>
    <row r="8" spans="1:15" x14ac:dyDescent="0.35">
      <c r="B8" s="74"/>
      <c r="C8" s="74"/>
      <c r="D8" s="74"/>
      <c r="E8" s="74"/>
    </row>
    <row r="9" spans="1:15" x14ac:dyDescent="0.35">
      <c r="A9" s="89">
        <v>0</v>
      </c>
      <c r="B9" s="74"/>
      <c r="C9" s="74"/>
      <c r="D9" s="74"/>
      <c r="E9" s="74">
        <f>'Property Tax Calc'!E49</f>
        <v>549882.16810683429</v>
      </c>
      <c r="G9" s="74">
        <f>'Property Tax Calc'!E48</f>
        <v>150000</v>
      </c>
      <c r="I9" s="74">
        <f>'Prebate-Rebate'!E50</f>
        <v>549882.16810683429</v>
      </c>
      <c r="K9" s="74">
        <f>'Prebate-Rebate'!E49</f>
        <v>88000</v>
      </c>
    </row>
    <row r="10" spans="1:15" x14ac:dyDescent="0.35">
      <c r="B10" s="74"/>
      <c r="C10" s="74"/>
      <c r="D10" s="74"/>
      <c r="E10" s="74"/>
      <c r="G10" s="43"/>
      <c r="I10" s="74"/>
      <c r="K10" s="43"/>
    </row>
    <row r="11" spans="1:15" x14ac:dyDescent="0.35">
      <c r="A11" s="89">
        <v>2024</v>
      </c>
      <c r="B11" s="74"/>
      <c r="C11" s="74"/>
      <c r="D11" s="74"/>
      <c r="E11" s="74">
        <f>'Property Tax Calc'!E49</f>
        <v>549882.16810683429</v>
      </c>
      <c r="G11" s="74">
        <f>'Property Tax Calc'!E48</f>
        <v>150000</v>
      </c>
      <c r="I11" s="74">
        <f>'Prebate-Rebate'!E50</f>
        <v>549882.16810683429</v>
      </c>
      <c r="K11" s="74">
        <f>'Prebate-Rebate'!E49</f>
        <v>88000</v>
      </c>
    </row>
    <row r="12" spans="1:15" x14ac:dyDescent="0.35">
      <c r="A12" s="89"/>
      <c r="B12" s="74"/>
      <c r="C12" s="74"/>
      <c r="D12" s="74"/>
      <c r="E12" s="74"/>
      <c r="G12" s="43"/>
      <c r="I12" s="74"/>
      <c r="K12" s="43"/>
    </row>
    <row r="13" spans="1:15" x14ac:dyDescent="0.35">
      <c r="A13" s="89">
        <f>+A11+1</f>
        <v>2025</v>
      </c>
      <c r="B13" s="74"/>
      <c r="C13" s="74"/>
      <c r="D13" s="74"/>
      <c r="E13" s="74">
        <f>E11 + (E11*E2)</f>
        <v>549882.16810683429</v>
      </c>
      <c r="G13" s="43">
        <f>G11 + (G11*E3)</f>
        <v>150000</v>
      </c>
      <c r="I13" s="74">
        <f>I11 + (I11*I2)</f>
        <v>549882.16810683429</v>
      </c>
      <c r="K13" s="43">
        <f>K11 + (K11*I3)</f>
        <v>88000</v>
      </c>
    </row>
    <row r="14" spans="1:15" x14ac:dyDescent="0.35">
      <c r="A14" s="89"/>
      <c r="B14" s="74"/>
      <c r="C14" s="74"/>
      <c r="D14" s="74"/>
      <c r="E14" s="74"/>
      <c r="G14" s="43"/>
      <c r="I14" s="74"/>
      <c r="K14" s="43"/>
    </row>
    <row r="15" spans="1:15" x14ac:dyDescent="0.35">
      <c r="A15" s="89">
        <f>+A13+1</f>
        <v>2026</v>
      </c>
      <c r="B15" s="74"/>
      <c r="C15" s="74"/>
      <c r="D15" s="74"/>
      <c r="E15" s="74">
        <f>E13 + (E13*E2)</f>
        <v>549882.16810683429</v>
      </c>
      <c r="G15" s="43">
        <f>G13 + (G13*E3)</f>
        <v>150000</v>
      </c>
      <c r="I15" s="74">
        <f>I13 + (I13*I2)</f>
        <v>549882.16810683429</v>
      </c>
      <c r="K15" s="43">
        <f>K13 + (K13*I3)</f>
        <v>88000</v>
      </c>
    </row>
    <row r="16" spans="1:15" x14ac:dyDescent="0.35">
      <c r="A16" s="89"/>
      <c r="B16" s="74"/>
      <c r="C16" s="74"/>
      <c r="D16" s="74"/>
      <c r="E16" s="74"/>
      <c r="G16" s="43"/>
      <c r="I16" s="74"/>
      <c r="K16" s="43"/>
    </row>
    <row r="17" spans="1:11" x14ac:dyDescent="0.35">
      <c r="A17" s="89">
        <f>+A15+1</f>
        <v>2027</v>
      </c>
      <c r="B17" s="74"/>
      <c r="C17" s="74"/>
      <c r="D17" s="74"/>
      <c r="E17" s="74">
        <f>E15 + (E15*E2)</f>
        <v>549882.16810683429</v>
      </c>
      <c r="G17" s="43">
        <f>G15 + (G15*E3)</f>
        <v>150000</v>
      </c>
      <c r="I17" s="74">
        <f>I15 + (I15*I2)</f>
        <v>549882.16810683429</v>
      </c>
      <c r="K17" s="43">
        <f>K15 + (K15*I3)</f>
        <v>88000</v>
      </c>
    </row>
    <row r="18" spans="1:11" x14ac:dyDescent="0.35">
      <c r="A18" s="89"/>
      <c r="B18" s="74"/>
      <c r="C18" s="74"/>
      <c r="D18" s="74"/>
      <c r="E18" s="74"/>
      <c r="G18" s="43"/>
      <c r="I18" s="74"/>
      <c r="K18" s="43"/>
    </row>
    <row r="19" spans="1:11" x14ac:dyDescent="0.35">
      <c r="A19" s="89">
        <f>+A17+1</f>
        <v>2028</v>
      </c>
      <c r="B19" s="74"/>
      <c r="C19" s="74"/>
      <c r="D19" s="74"/>
      <c r="E19" s="74">
        <f>E17 + (E17*E2)</f>
        <v>549882.16810683429</v>
      </c>
      <c r="G19" s="43">
        <f>G17 + (G17*E3)</f>
        <v>150000</v>
      </c>
      <c r="I19" s="74">
        <f>I17 + (I17*I2)</f>
        <v>549882.16810683429</v>
      </c>
      <c r="K19" s="43">
        <f>K17 + (K17*I3)</f>
        <v>88000</v>
      </c>
    </row>
    <row r="20" spans="1:11" x14ac:dyDescent="0.35">
      <c r="A20" s="89"/>
      <c r="B20" s="74"/>
      <c r="C20" s="74"/>
      <c r="D20" s="74"/>
      <c r="E20" s="74"/>
      <c r="G20" s="43"/>
      <c r="I20" s="74"/>
      <c r="K20" s="43"/>
    </row>
    <row r="21" spans="1:11" x14ac:dyDescent="0.35">
      <c r="A21" s="89">
        <f>+A19+1</f>
        <v>2029</v>
      </c>
      <c r="B21" s="74"/>
      <c r="C21" s="74"/>
      <c r="D21" s="74"/>
      <c r="E21" s="74">
        <f>E19 + (E19*E2)</f>
        <v>549882.16810683429</v>
      </c>
      <c r="G21" s="43">
        <f>G19 + (G19*E3)</f>
        <v>150000</v>
      </c>
      <c r="I21" s="74">
        <f>I19 + (I19*I2)</f>
        <v>549882.16810683429</v>
      </c>
      <c r="K21" s="43">
        <f>K19 + (K19*I3)</f>
        <v>88000</v>
      </c>
    </row>
    <row r="22" spans="1:11" x14ac:dyDescent="0.35">
      <c r="A22" s="89"/>
      <c r="B22" s="74"/>
      <c r="C22" s="74"/>
      <c r="D22" s="74"/>
      <c r="E22" s="74"/>
      <c r="G22" s="43"/>
      <c r="I22" s="74"/>
      <c r="K22" s="43"/>
    </row>
    <row r="23" spans="1:11" x14ac:dyDescent="0.35">
      <c r="A23" s="89">
        <f>+A21+1</f>
        <v>2030</v>
      </c>
      <c r="B23" s="74"/>
      <c r="C23" s="74"/>
      <c r="D23" s="74"/>
      <c r="E23" s="74">
        <f>E21 + (E21*E2)</f>
        <v>549882.16810683429</v>
      </c>
      <c r="G23" s="43">
        <f>G21 + (G21*E3)</f>
        <v>150000</v>
      </c>
      <c r="I23" s="74">
        <f>I21 + (I21*I2)</f>
        <v>549882.16810683429</v>
      </c>
      <c r="K23" s="43">
        <f>K21 + (K21*I3)</f>
        <v>88000</v>
      </c>
    </row>
    <row r="24" spans="1:11" x14ac:dyDescent="0.35">
      <c r="A24" s="89"/>
      <c r="B24" s="74"/>
      <c r="C24" s="74"/>
      <c r="D24" s="74"/>
      <c r="E24" s="74"/>
      <c r="G24" s="43"/>
      <c r="I24" s="74"/>
      <c r="K24" s="43"/>
    </row>
    <row r="25" spans="1:11" x14ac:dyDescent="0.35">
      <c r="A25" s="89">
        <f>+A23+1</f>
        <v>2031</v>
      </c>
      <c r="B25" s="74"/>
      <c r="C25" s="74"/>
      <c r="D25" s="74"/>
      <c r="E25" s="74">
        <f>E23 + (E23*E2)</f>
        <v>549882.16810683429</v>
      </c>
      <c r="G25" s="43">
        <f>G23 + (G23*E3)</f>
        <v>150000</v>
      </c>
      <c r="I25" s="74">
        <f>I23 + (I23*I2)</f>
        <v>549882.16810683429</v>
      </c>
      <c r="K25" s="43">
        <f>K23 + (K23*I3)</f>
        <v>88000</v>
      </c>
    </row>
    <row r="26" spans="1:11" x14ac:dyDescent="0.35">
      <c r="A26" s="89"/>
      <c r="B26" s="74"/>
      <c r="C26" s="74"/>
      <c r="D26" s="74"/>
      <c r="E26" s="74"/>
      <c r="G26" s="43"/>
      <c r="I26" s="74"/>
      <c r="K26" s="43"/>
    </row>
    <row r="27" spans="1:11" x14ac:dyDescent="0.35">
      <c r="A27" s="89">
        <f>+A25+1</f>
        <v>2032</v>
      </c>
      <c r="B27" s="74"/>
      <c r="C27" s="74"/>
      <c r="D27" s="74"/>
      <c r="E27" s="74">
        <f>E25 + (E25*E2)</f>
        <v>549882.16810683429</v>
      </c>
      <c r="G27" s="43">
        <f>G25 + (G25*E3)</f>
        <v>150000</v>
      </c>
      <c r="I27" s="74">
        <f>I25 + (I25*I2)</f>
        <v>549882.16810683429</v>
      </c>
      <c r="K27" s="43">
        <f>K25 + (K25*I3)</f>
        <v>88000</v>
      </c>
    </row>
    <row r="28" spans="1:11" x14ac:dyDescent="0.35">
      <c r="A28" s="89"/>
      <c r="B28" s="74"/>
      <c r="C28" s="74"/>
      <c r="D28" s="74"/>
      <c r="E28" s="74"/>
      <c r="G28" s="43"/>
      <c r="I28" s="74"/>
      <c r="K28" s="43"/>
    </row>
    <row r="29" spans="1:11" x14ac:dyDescent="0.35">
      <c r="A29" s="89">
        <f>+A27+1</f>
        <v>2033</v>
      </c>
      <c r="B29" s="74"/>
      <c r="C29" s="74"/>
      <c r="D29" s="74"/>
      <c r="E29" s="74">
        <f>E27 + (E27*E2)</f>
        <v>549882.16810683429</v>
      </c>
      <c r="G29" s="43">
        <f>G27 + (G27*E3)</f>
        <v>150000</v>
      </c>
      <c r="I29" s="74">
        <f>I27 + (I27*I2)</f>
        <v>549882.16810683429</v>
      </c>
      <c r="K29" s="43">
        <f>K27 + (K27*I3)</f>
        <v>88000</v>
      </c>
    </row>
    <row r="30" spans="1:11" x14ac:dyDescent="0.35">
      <c r="A30" s="89"/>
      <c r="B30" s="74"/>
      <c r="C30" s="74"/>
      <c r="D30" s="74"/>
      <c r="E30" s="74"/>
      <c r="G30" s="43"/>
      <c r="I30" s="74"/>
      <c r="K30" s="43"/>
    </row>
    <row r="31" spans="1:11" x14ac:dyDescent="0.35">
      <c r="A31" s="89">
        <f>+A29+1</f>
        <v>2034</v>
      </c>
      <c r="B31" s="74"/>
      <c r="C31" s="74"/>
      <c r="D31" s="74"/>
      <c r="E31" s="74">
        <f>E29 + (E29*E2)</f>
        <v>549882.16810683429</v>
      </c>
      <c r="G31" s="43">
        <f>G29 + (G29*E3)</f>
        <v>150000</v>
      </c>
      <c r="I31" s="74">
        <f>I29 + (I29*I2)</f>
        <v>549882.16810683429</v>
      </c>
      <c r="K31" s="43">
        <f>K29 + (K29*I3)</f>
        <v>88000</v>
      </c>
    </row>
    <row r="32" spans="1:11" x14ac:dyDescent="0.35">
      <c r="A32" s="89"/>
      <c r="B32" s="74"/>
      <c r="C32" s="74"/>
      <c r="D32" s="74"/>
      <c r="E32" s="74"/>
      <c r="G32" s="43"/>
      <c r="I32" s="74"/>
      <c r="K32" s="43"/>
    </row>
    <row r="33" spans="1:11" x14ac:dyDescent="0.35">
      <c r="A33" s="89">
        <f>+A31+1</f>
        <v>2035</v>
      </c>
      <c r="B33" s="74"/>
      <c r="C33" s="74"/>
      <c r="D33" s="74"/>
      <c r="E33" s="74">
        <f>E31 + (E31*E2)</f>
        <v>549882.16810683429</v>
      </c>
      <c r="G33" s="43">
        <f>G31 + (G31*E3)</f>
        <v>150000</v>
      </c>
      <c r="I33" s="74">
        <f>I31 + (I31*I2)</f>
        <v>549882.16810683429</v>
      </c>
      <c r="K33" s="43">
        <f>K31 + (K31*I3)</f>
        <v>88000</v>
      </c>
    </row>
    <row r="34" spans="1:11" x14ac:dyDescent="0.35">
      <c r="A34" s="89"/>
      <c r="B34" s="74"/>
      <c r="C34" s="74"/>
      <c r="D34" s="74"/>
      <c r="E34" s="74"/>
      <c r="G34" s="43"/>
      <c r="I34" s="74"/>
      <c r="K34" s="43"/>
    </row>
    <row r="35" spans="1:11" x14ac:dyDescent="0.35">
      <c r="A35" s="89">
        <f>+A33+1</f>
        <v>2036</v>
      </c>
      <c r="B35" s="74"/>
      <c r="C35" s="74"/>
      <c r="D35" s="74"/>
      <c r="E35" s="74">
        <f>E33 + (E33*E2)</f>
        <v>549882.16810683429</v>
      </c>
      <c r="G35" s="43">
        <f>G33 + (G33*E3)</f>
        <v>150000</v>
      </c>
      <c r="I35" s="74">
        <f>I33 + (I33*I2)</f>
        <v>549882.16810683429</v>
      </c>
      <c r="K35" s="43">
        <f>K33 + (K33*I3)</f>
        <v>88000</v>
      </c>
    </row>
    <row r="36" spans="1:11" x14ac:dyDescent="0.35">
      <c r="A36" s="89"/>
      <c r="B36" s="74"/>
      <c r="C36" s="74"/>
      <c r="D36" s="74"/>
      <c r="E36" s="74"/>
      <c r="G36" s="43"/>
      <c r="I36" s="74"/>
      <c r="K36" s="43"/>
    </row>
    <row r="37" spans="1:11" x14ac:dyDescent="0.35">
      <c r="A37" s="89">
        <f>+A35+1</f>
        <v>2037</v>
      </c>
      <c r="B37" s="74"/>
      <c r="C37" s="74"/>
      <c r="D37" s="74"/>
      <c r="E37" s="74">
        <f>E35 + (E35*E2)</f>
        <v>549882.16810683429</v>
      </c>
      <c r="G37" s="43">
        <f>G35 + (G35*E3)</f>
        <v>150000</v>
      </c>
      <c r="I37" s="74">
        <f>I35 + (I35*I2)</f>
        <v>549882.16810683429</v>
      </c>
      <c r="K37" s="43">
        <f>K35 + (K35*I3)</f>
        <v>88000</v>
      </c>
    </row>
    <row r="38" spans="1:11" x14ac:dyDescent="0.35">
      <c r="A38" s="89"/>
      <c r="B38" s="74"/>
      <c r="C38" s="74"/>
      <c r="D38" s="74"/>
      <c r="E38" s="74"/>
      <c r="G38" s="43"/>
      <c r="I38" s="74"/>
      <c r="K38" s="43"/>
    </row>
    <row r="39" spans="1:11" x14ac:dyDescent="0.35">
      <c r="A39" s="89">
        <f>+A37+1</f>
        <v>2038</v>
      </c>
      <c r="B39" s="74"/>
      <c r="C39" s="74"/>
      <c r="D39" s="74"/>
      <c r="E39" s="74">
        <f>E37 + (E37*E2)</f>
        <v>549882.16810683429</v>
      </c>
      <c r="G39" s="43">
        <f>G37 + (G37*E3)</f>
        <v>150000</v>
      </c>
      <c r="I39" s="74">
        <f>I37 + (I37*I2)</f>
        <v>549882.16810683429</v>
      </c>
      <c r="K39" s="43">
        <f>K37 + (K37*I3)</f>
        <v>88000</v>
      </c>
    </row>
    <row r="40" spans="1:11" x14ac:dyDescent="0.35">
      <c r="A40" s="89"/>
      <c r="B40" s="74"/>
      <c r="C40" s="74"/>
      <c r="D40" s="74"/>
      <c r="E40" s="74"/>
      <c r="G40" s="43"/>
      <c r="I40" s="74"/>
      <c r="K40" s="43"/>
    </row>
    <row r="41" spans="1:11" x14ac:dyDescent="0.35">
      <c r="A41" s="89">
        <f>+A39+1</f>
        <v>2039</v>
      </c>
      <c r="B41" s="74"/>
      <c r="C41" s="74"/>
      <c r="D41" s="74"/>
      <c r="E41" s="74">
        <f>E39 + (E39*E2)</f>
        <v>549882.16810683429</v>
      </c>
      <c r="G41" s="43">
        <f>G39 + (G39*E3)</f>
        <v>150000</v>
      </c>
      <c r="I41" s="74">
        <f>I39 + (I39*I2)</f>
        <v>549882.16810683429</v>
      </c>
      <c r="K41" s="43">
        <f>K39 + (K39*I3)</f>
        <v>88000</v>
      </c>
    </row>
    <row r="42" spans="1:11" x14ac:dyDescent="0.35">
      <c r="A42" s="89"/>
      <c r="B42" s="74"/>
      <c r="C42" s="74"/>
      <c r="D42" s="74"/>
      <c r="E42" s="74"/>
      <c r="G42" s="43"/>
      <c r="I42" s="74"/>
      <c r="K42" s="43"/>
    </row>
    <row r="43" spans="1:11" x14ac:dyDescent="0.35">
      <c r="A43" s="89">
        <f>+A41+1</f>
        <v>2040</v>
      </c>
      <c r="B43" s="74"/>
      <c r="C43" s="74"/>
      <c r="D43" s="74"/>
      <c r="E43" s="74">
        <f>E41 + (E41*E2)</f>
        <v>549882.16810683429</v>
      </c>
      <c r="G43" s="43">
        <f>G41 + (G41*E3)</f>
        <v>150000</v>
      </c>
      <c r="I43" s="74">
        <f>I41 + (I41*I2)</f>
        <v>549882.16810683429</v>
      </c>
      <c r="K43" s="43">
        <f>K41 + (K41*I3)</f>
        <v>88000</v>
      </c>
    </row>
    <row r="44" spans="1:11" x14ac:dyDescent="0.35">
      <c r="A44" s="89"/>
      <c r="B44" s="74"/>
      <c r="C44" s="74"/>
      <c r="D44" s="74"/>
      <c r="E44" s="74"/>
      <c r="G44" s="43"/>
      <c r="I44" s="74"/>
      <c r="K44" s="43"/>
    </row>
    <row r="45" spans="1:11" x14ac:dyDescent="0.35">
      <c r="A45" s="89">
        <f>+A43+1</f>
        <v>2041</v>
      </c>
      <c r="B45" s="74"/>
      <c r="C45" s="74"/>
      <c r="D45" s="74"/>
      <c r="E45" s="74">
        <f>E43 + (E43*E2)</f>
        <v>549882.16810683429</v>
      </c>
      <c r="G45" s="43">
        <f>G43 + (G43*E3)</f>
        <v>150000</v>
      </c>
      <c r="I45" s="74">
        <f>I43 + (I43*I2)</f>
        <v>549882.16810683429</v>
      </c>
      <c r="K45" s="43">
        <f>K43 + (K43*I3)</f>
        <v>88000</v>
      </c>
    </row>
    <row r="46" spans="1:11" x14ac:dyDescent="0.35">
      <c r="A46" s="89"/>
      <c r="B46" s="74"/>
      <c r="C46" s="74"/>
      <c r="D46" s="74"/>
      <c r="E46" s="74"/>
      <c r="G46" s="43"/>
      <c r="I46" s="74"/>
      <c r="K46" s="43"/>
    </row>
    <row r="47" spans="1:11" x14ac:dyDescent="0.35">
      <c r="A47" s="89">
        <f>+A45+1</f>
        <v>2042</v>
      </c>
      <c r="B47" s="74"/>
      <c r="C47" s="74"/>
      <c r="D47" s="74"/>
      <c r="E47" s="74">
        <f>E45 + (E45*E2)</f>
        <v>549882.16810683429</v>
      </c>
      <c r="G47" s="43">
        <f>G45 + (G45*E3)</f>
        <v>150000</v>
      </c>
      <c r="I47" s="74">
        <f>I45 + (I45*I2)</f>
        <v>549882.16810683429</v>
      </c>
      <c r="K47" s="43">
        <f>K45 + (K45*I3)</f>
        <v>88000</v>
      </c>
    </row>
    <row r="48" spans="1:11" x14ac:dyDescent="0.35">
      <c r="A48" s="89"/>
      <c r="B48" s="74"/>
      <c r="C48" s="74"/>
      <c r="D48" s="74"/>
      <c r="E48" s="74"/>
      <c r="G48" s="43"/>
      <c r="I48" s="74"/>
      <c r="K48" s="43"/>
    </row>
    <row r="49" spans="1:11" x14ac:dyDescent="0.35">
      <c r="A49" s="89">
        <f>+A47+1</f>
        <v>2043</v>
      </c>
      <c r="B49" s="74"/>
      <c r="C49" s="74"/>
      <c r="D49" s="74"/>
      <c r="E49" s="74">
        <f>E47 + (E47*E2)</f>
        <v>549882.16810683429</v>
      </c>
      <c r="G49" s="43">
        <f>G47 + (G47*E3)</f>
        <v>150000</v>
      </c>
      <c r="I49" s="74">
        <f>I47 + (I47*I2)</f>
        <v>549882.16810683429</v>
      </c>
      <c r="K49" s="43">
        <f>K47 + (K47*I3)</f>
        <v>88000</v>
      </c>
    </row>
    <row r="50" spans="1:11" x14ac:dyDescent="0.35">
      <c r="A50" s="89"/>
      <c r="B50" s="74"/>
      <c r="C50" s="74"/>
      <c r="D50" s="74"/>
      <c r="E50" s="74"/>
      <c r="G50" s="43"/>
      <c r="I50" s="74"/>
      <c r="K50" s="43"/>
    </row>
    <row r="51" spans="1:11" x14ac:dyDescent="0.35">
      <c r="A51" s="89">
        <f>+A49+1</f>
        <v>2044</v>
      </c>
      <c r="B51" s="74"/>
      <c r="C51" s="74"/>
      <c r="D51" s="74"/>
      <c r="E51" s="74">
        <f>E49 + (E49*E2)</f>
        <v>549882.16810683429</v>
      </c>
      <c r="G51" s="43">
        <f>G49 + (G49*E3)</f>
        <v>150000</v>
      </c>
      <c r="I51" s="74">
        <f>I49 + (I49*I2)</f>
        <v>549882.16810683429</v>
      </c>
      <c r="K51" s="43">
        <f>K49 + (K49*I3)</f>
        <v>88000</v>
      </c>
    </row>
    <row r="52" spans="1:11" x14ac:dyDescent="0.35">
      <c r="A52" s="89"/>
      <c r="B52" s="74"/>
      <c r="C52" s="74"/>
      <c r="D52" s="74"/>
      <c r="E52" s="74"/>
      <c r="G52" s="43"/>
      <c r="I52" s="74"/>
      <c r="K52" s="43"/>
    </row>
    <row r="53" spans="1:11" x14ac:dyDescent="0.35">
      <c r="A53" s="89">
        <f>+A51+1</f>
        <v>2045</v>
      </c>
      <c r="B53" s="74"/>
      <c r="C53" s="74"/>
      <c r="D53" s="74"/>
      <c r="E53" s="74">
        <f>E51 + (E51*E2)</f>
        <v>549882.16810683429</v>
      </c>
      <c r="G53" s="43">
        <f>G51 + (G51*E3)</f>
        <v>150000</v>
      </c>
      <c r="I53" s="74">
        <f>I51 + (I51*I2)</f>
        <v>549882.16810683429</v>
      </c>
      <c r="K53" s="43">
        <f>K51 + (K51*I3)</f>
        <v>88000</v>
      </c>
    </row>
    <row r="54" spans="1:11" x14ac:dyDescent="0.35">
      <c r="A54" s="89"/>
      <c r="B54" s="74"/>
      <c r="C54" s="74"/>
      <c r="D54" s="74"/>
      <c r="E54" s="74"/>
      <c r="G54" s="43"/>
      <c r="I54" s="74"/>
      <c r="K54" s="43"/>
    </row>
    <row r="55" spans="1:11" x14ac:dyDescent="0.35">
      <c r="A55" s="89">
        <f>+A53+1</f>
        <v>2046</v>
      </c>
      <c r="B55" s="74"/>
      <c r="C55" s="74"/>
      <c r="D55" s="74"/>
      <c r="E55" s="74">
        <f>E53 + (E53*E2)</f>
        <v>549882.16810683429</v>
      </c>
      <c r="G55" s="43">
        <f>G53 + (G53*E3)</f>
        <v>150000</v>
      </c>
      <c r="I55" s="74">
        <f>I53 + (I53*I2)</f>
        <v>549882.16810683429</v>
      </c>
      <c r="K55" s="43">
        <f>K53 + (K53*I3)</f>
        <v>88000</v>
      </c>
    </row>
    <row r="56" spans="1:11" x14ac:dyDescent="0.35">
      <c r="A56" s="89"/>
      <c r="B56" s="74"/>
      <c r="C56" s="74"/>
      <c r="D56" s="74"/>
      <c r="E56" s="74"/>
      <c r="G56" s="43"/>
      <c r="I56" s="74"/>
      <c r="K56" s="43"/>
    </row>
    <row r="57" spans="1:11" x14ac:dyDescent="0.35">
      <c r="A57" s="89">
        <f>+A55+1</f>
        <v>2047</v>
      </c>
      <c r="B57" s="74"/>
      <c r="C57" s="74"/>
      <c r="D57" s="74"/>
      <c r="E57" s="74">
        <f>E55 + (E55*E2)</f>
        <v>549882.16810683429</v>
      </c>
      <c r="G57" s="43">
        <f>G55 + (G55*E3)</f>
        <v>150000</v>
      </c>
      <c r="I57" s="74">
        <f>I55 + (I55*I2)</f>
        <v>549882.16810683429</v>
      </c>
      <c r="K57" s="43">
        <f>K55 + (K55*I3)</f>
        <v>88000</v>
      </c>
    </row>
    <row r="58" spans="1:11" x14ac:dyDescent="0.35">
      <c r="A58" s="89"/>
      <c r="B58" s="74"/>
      <c r="C58" s="74"/>
      <c r="D58" s="74"/>
      <c r="E58" s="74"/>
      <c r="G58" s="43"/>
      <c r="I58" s="74"/>
      <c r="K58" s="43"/>
    </row>
    <row r="59" spans="1:11" x14ac:dyDescent="0.35">
      <c r="A59" s="89">
        <f>+A57+1</f>
        <v>2048</v>
      </c>
      <c r="B59" s="74"/>
      <c r="C59" s="74"/>
      <c r="D59" s="74"/>
      <c r="E59" s="74">
        <f>E57 + (E57*E2)</f>
        <v>549882.16810683429</v>
      </c>
      <c r="G59" s="43">
        <f>G57 + (G57*E3)</f>
        <v>150000</v>
      </c>
      <c r="I59" s="74">
        <f>I57 + (I57*I2)</f>
        <v>549882.16810683429</v>
      </c>
      <c r="K59" s="43">
        <f>K57 + (K57*I3)</f>
        <v>88000</v>
      </c>
    </row>
    <row r="60" spans="1:11" x14ac:dyDescent="0.35">
      <c r="A60" s="89"/>
      <c r="B60" s="74"/>
      <c r="C60" s="74"/>
      <c r="D60" s="74"/>
      <c r="E60" s="74"/>
      <c r="G60" s="43"/>
      <c r="I60" s="74"/>
      <c r="K60" s="43"/>
    </row>
    <row r="61" spans="1:11" x14ac:dyDescent="0.35">
      <c r="A61" s="89">
        <f>+A59+1</f>
        <v>2049</v>
      </c>
      <c r="B61" s="74"/>
      <c r="C61" s="74"/>
      <c r="D61" s="74"/>
      <c r="E61" s="74">
        <f>E59 + (E59*E2)</f>
        <v>549882.16810683429</v>
      </c>
      <c r="G61" s="43">
        <f>G59 + (G59*E3)</f>
        <v>150000</v>
      </c>
      <c r="I61" s="74">
        <f>I59 + (I59*I2)</f>
        <v>549882.16810683429</v>
      </c>
      <c r="K61" s="43">
        <f>K59 + (K59*I3)</f>
        <v>88000</v>
      </c>
    </row>
    <row r="62" spans="1:11" x14ac:dyDescent="0.35">
      <c r="A62" s="89"/>
      <c r="B62" s="74"/>
      <c r="C62" s="74"/>
      <c r="D62" s="74"/>
      <c r="E62" s="74"/>
      <c r="G62" s="43"/>
      <c r="I62" s="74"/>
      <c r="K62" s="43"/>
    </row>
    <row r="63" spans="1:11" x14ac:dyDescent="0.35">
      <c r="A63" s="89">
        <f>+A61+1</f>
        <v>2050</v>
      </c>
      <c r="B63" s="74"/>
      <c r="C63" s="74"/>
      <c r="D63" s="74"/>
      <c r="E63" s="74">
        <f>E61 + (E61*E2)</f>
        <v>549882.16810683429</v>
      </c>
      <c r="G63" s="43">
        <f>G61 + (G61*E3)</f>
        <v>150000</v>
      </c>
      <c r="I63" s="74">
        <f>I61 + (I61*I2)</f>
        <v>549882.16810683429</v>
      </c>
      <c r="K63" s="43">
        <f>K61 + (K61*I3)</f>
        <v>88000</v>
      </c>
    </row>
    <row r="64" spans="1:11" x14ac:dyDescent="0.35">
      <c r="A64" s="89"/>
      <c r="B64" s="74"/>
      <c r="C64" s="74"/>
      <c r="D64" s="74"/>
      <c r="E64" s="74"/>
      <c r="G64" s="43"/>
      <c r="I64" s="74"/>
      <c r="K64" s="43"/>
    </row>
    <row r="65" spans="1:11" x14ac:dyDescent="0.35">
      <c r="A65" s="89">
        <f>+A63+1</f>
        <v>2051</v>
      </c>
      <c r="B65" s="74"/>
      <c r="C65" s="74"/>
      <c r="D65" s="74"/>
      <c r="E65" s="74">
        <f>E63 + (E63*E2)</f>
        <v>549882.16810683429</v>
      </c>
      <c r="G65" s="43">
        <f>G63 + (G63*E3)</f>
        <v>150000</v>
      </c>
      <c r="I65" s="74">
        <f>I63 + (I63*I2)</f>
        <v>549882.16810683429</v>
      </c>
      <c r="K65" s="43">
        <f>K63 + (K63*I3)</f>
        <v>88000</v>
      </c>
    </row>
    <row r="66" spans="1:11" x14ac:dyDescent="0.35">
      <c r="A66" s="89"/>
      <c r="B66" s="74"/>
      <c r="C66" s="74"/>
      <c r="D66" s="74"/>
      <c r="E66" s="74"/>
      <c r="G66" s="43"/>
      <c r="I66" s="74"/>
      <c r="K66" s="43"/>
    </row>
    <row r="67" spans="1:11" x14ac:dyDescent="0.35">
      <c r="A67" s="89">
        <f>+A65+1</f>
        <v>2052</v>
      </c>
      <c r="B67" s="74"/>
      <c r="C67" s="74"/>
      <c r="D67" s="74"/>
      <c r="E67" s="74">
        <f>E65 + (E65*E2)</f>
        <v>549882.16810683429</v>
      </c>
      <c r="G67" s="43">
        <f>G65 + (G65*E3)</f>
        <v>150000</v>
      </c>
      <c r="I67" s="74">
        <f>I65 + (I65*I2)</f>
        <v>549882.16810683429</v>
      </c>
      <c r="K67" s="43">
        <f>K65 + (K65*I3)</f>
        <v>88000</v>
      </c>
    </row>
    <row r="68" spans="1:11" x14ac:dyDescent="0.35">
      <c r="A68" s="89"/>
      <c r="B68" s="74"/>
      <c r="C68" s="74"/>
      <c r="D68" s="74"/>
      <c r="E68" s="74"/>
      <c r="G68" s="43"/>
      <c r="I68" s="74"/>
      <c r="K68" s="43"/>
    </row>
    <row r="69" spans="1:11" x14ac:dyDescent="0.35">
      <c r="A69" s="89">
        <f>+A67+1</f>
        <v>2053</v>
      </c>
      <c r="B69" s="74"/>
      <c r="C69" s="74"/>
      <c r="D69" s="74"/>
      <c r="E69" s="74">
        <f>E67 + (E67*E2)</f>
        <v>549882.16810683429</v>
      </c>
      <c r="G69" s="43">
        <f>G67 + (G67*E3)</f>
        <v>150000</v>
      </c>
      <c r="I69" s="74">
        <f>I67 + (I67*I2)</f>
        <v>549882.16810683429</v>
      </c>
      <c r="K69" s="43">
        <f>K67 + (K67*I3)</f>
        <v>88000</v>
      </c>
    </row>
    <row r="70" spans="1:11" x14ac:dyDescent="0.35">
      <c r="A70" s="89"/>
      <c r="B70" s="74"/>
      <c r="C70" s="74"/>
      <c r="D70" s="74"/>
      <c r="E70" s="74"/>
      <c r="G70" s="43"/>
      <c r="I70" s="74"/>
      <c r="K70" s="43"/>
    </row>
    <row r="71" spans="1:11" x14ac:dyDescent="0.35">
      <c r="A71" s="89">
        <f>+A69+1</f>
        <v>2054</v>
      </c>
      <c r="B71" s="74"/>
      <c r="C71" s="74"/>
      <c r="D71" s="74"/>
      <c r="E71" s="74">
        <f>E69 + (E69*E2)</f>
        <v>549882.16810683429</v>
      </c>
      <c r="G71" s="43">
        <f>G69 + (G69*E3)</f>
        <v>150000</v>
      </c>
      <c r="I71" s="74">
        <f>I69 + (I69*I2)</f>
        <v>549882.16810683429</v>
      </c>
      <c r="K71" s="43">
        <f>K69 + (K69*I3)</f>
        <v>88000</v>
      </c>
    </row>
    <row r="73" spans="1:11" x14ac:dyDescent="0.35">
      <c r="A73" s="186">
        <f>+A71+1</f>
        <v>2055</v>
      </c>
      <c r="E73" s="74">
        <f>E71 + (E71*E2)</f>
        <v>549882.16810683429</v>
      </c>
      <c r="G73" s="43">
        <f>G71 + (G71*E3)</f>
        <v>150000</v>
      </c>
      <c r="I73" s="74">
        <f>I71 + (I71*I2)</f>
        <v>549882.16810683429</v>
      </c>
      <c r="K73" s="43">
        <f>K71 + (K71*I3)</f>
        <v>88000</v>
      </c>
    </row>
    <row r="75" spans="1:11" x14ac:dyDescent="0.35">
      <c r="A75" s="186">
        <f>+A73+1</f>
        <v>2056</v>
      </c>
      <c r="E75" s="74">
        <f>E73 + (E73*E2)</f>
        <v>549882.16810683429</v>
      </c>
      <c r="G75" s="43">
        <f>G73 + (G73*E3)</f>
        <v>150000</v>
      </c>
      <c r="I75" s="74">
        <f>I73 + (I73*I2)</f>
        <v>549882.16810683429</v>
      </c>
      <c r="K75" s="43">
        <f>K73 + (K73*I3)</f>
        <v>88000</v>
      </c>
    </row>
    <row r="77" spans="1:11" x14ac:dyDescent="0.35">
      <c r="A77" s="186">
        <f>+A75+1</f>
        <v>2057</v>
      </c>
      <c r="E77" s="74">
        <f>E75 + (E75*E2)</f>
        <v>549882.16810683429</v>
      </c>
      <c r="G77" s="43">
        <f>G75 + (G75*E3)</f>
        <v>150000</v>
      </c>
      <c r="I77" s="74">
        <f>I75 + (I75*I2)</f>
        <v>549882.16810683429</v>
      </c>
      <c r="K77" s="43">
        <f>K75 + (K75*I3)</f>
        <v>88000</v>
      </c>
    </row>
    <row r="79" spans="1:11" x14ac:dyDescent="0.35">
      <c r="A79" s="186">
        <f>+A77+1</f>
        <v>2058</v>
      </c>
      <c r="E79" s="74">
        <f>E77 + (E77*E2)</f>
        <v>549882.16810683429</v>
      </c>
      <c r="G79" s="43">
        <f>G77 + (G77*E3)</f>
        <v>150000</v>
      </c>
      <c r="I79" s="74">
        <f>I77 + (I77*I2)</f>
        <v>549882.16810683429</v>
      </c>
      <c r="K79" s="43">
        <f>K77 + (K77*I3)</f>
        <v>88000</v>
      </c>
    </row>
    <row r="81" spans="1:11" x14ac:dyDescent="0.35">
      <c r="A81" s="186">
        <f>+A79+1</f>
        <v>2059</v>
      </c>
      <c r="E81" s="74">
        <f>E79 + (E79*E2)</f>
        <v>549882.16810683429</v>
      </c>
      <c r="G81" s="43">
        <f>G79 + (G79*E3)</f>
        <v>150000</v>
      </c>
      <c r="I81" s="74">
        <f>I79 + (I79*I2)</f>
        <v>549882.16810683429</v>
      </c>
      <c r="K81" s="43">
        <f>K79 + (K79*I3)</f>
        <v>88000</v>
      </c>
    </row>
    <row r="83" spans="1:11" x14ac:dyDescent="0.35">
      <c r="A83" s="186">
        <f>+A81+1</f>
        <v>2060</v>
      </c>
      <c r="E83" s="74">
        <f>E81 + (E81*E2)</f>
        <v>549882.16810683429</v>
      </c>
      <c r="G83" s="43">
        <f>G81 + (G81*E3)</f>
        <v>150000</v>
      </c>
      <c r="I83" s="74">
        <f>I81 + (I81*I2)</f>
        <v>549882.16810683429</v>
      </c>
      <c r="K83" s="43">
        <f>K81 + (K81*I3)</f>
        <v>88000</v>
      </c>
    </row>
    <row r="85" spans="1:11" x14ac:dyDescent="0.35">
      <c r="A85" s="186">
        <f>+A83+1</f>
        <v>2061</v>
      </c>
      <c r="E85" s="74">
        <f>E83 + (E83*E2)</f>
        <v>549882.16810683429</v>
      </c>
      <c r="G85" s="43">
        <f>G83 + (G83*E3)</f>
        <v>150000</v>
      </c>
      <c r="I85" s="74">
        <f>I83 + (I83*I2)</f>
        <v>549882.16810683429</v>
      </c>
      <c r="K85" s="43">
        <f>K83 + (K83*I3)</f>
        <v>88000</v>
      </c>
    </row>
    <row r="87" spans="1:11" x14ac:dyDescent="0.35">
      <c r="A87" s="186">
        <f>+A85+1</f>
        <v>2062</v>
      </c>
      <c r="E87" s="74">
        <f>E85 + (E85*E2)</f>
        <v>549882.16810683429</v>
      </c>
      <c r="G87" s="43">
        <f>G85 + (G85*E3)</f>
        <v>150000</v>
      </c>
      <c r="I87" s="74">
        <f>I85 + (I85*I2)</f>
        <v>549882.16810683429</v>
      </c>
      <c r="K87" s="43">
        <f>K85 + (K85*I3)</f>
        <v>88000</v>
      </c>
    </row>
    <row r="89" spans="1:11" x14ac:dyDescent="0.35">
      <c r="A89" s="186">
        <f>+A87+1</f>
        <v>2063</v>
      </c>
      <c r="E89" s="74">
        <f>E87 + (E87*E2)</f>
        <v>549882.16810683429</v>
      </c>
      <c r="G89" s="43">
        <f>G87 + (G87*E3)</f>
        <v>150000</v>
      </c>
      <c r="I89" s="74">
        <f>I87 + (I87*I2)</f>
        <v>549882.16810683429</v>
      </c>
      <c r="K89" s="43">
        <f>K87 + (K87*I3)</f>
        <v>88000</v>
      </c>
    </row>
    <row r="91" spans="1:11" x14ac:dyDescent="0.35">
      <c r="A91" s="186">
        <f>+A89+1</f>
        <v>2064</v>
      </c>
      <c r="E91" s="74">
        <f>E89 + (E89*E2)</f>
        <v>549882.16810683429</v>
      </c>
      <c r="G91" s="43">
        <f>G89 + (G89*E3)</f>
        <v>150000</v>
      </c>
      <c r="I91" s="74">
        <f>I89 + (I89*I2)</f>
        <v>549882.16810683429</v>
      </c>
      <c r="K91" s="43">
        <f>K89 + (K89*I3)</f>
        <v>88000</v>
      </c>
    </row>
  </sheetData>
  <mergeCells count="3">
    <mergeCell ref="D6:F6"/>
    <mergeCell ref="E5:G5"/>
    <mergeCell ref="H5:K5"/>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72C52E2C31AB47871CFE610ACF6254" ma:contentTypeVersion="10" ma:contentTypeDescription="Create a new document." ma:contentTypeScope="" ma:versionID="0d1ab534890460c9f077c5fbc0344e5f">
  <xsd:schema xmlns:xsd="http://www.w3.org/2001/XMLSchema" xmlns:xs="http://www.w3.org/2001/XMLSchema" xmlns:p="http://schemas.microsoft.com/office/2006/metadata/properties" xmlns:ns3="93b222f5-be24-486e-aac9-28972b336fee" targetNamespace="http://schemas.microsoft.com/office/2006/metadata/properties" ma:root="true" ma:fieldsID="a98ddf0a1c066634c59cd779f88dd8a2" ns3:_="">
    <xsd:import namespace="93b222f5-be24-486e-aac9-28972b336f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b222f5-be24-486e-aac9-28972b336f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C5A263-E35C-4507-B585-D0E36F95F3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b222f5-be24-486e-aac9-28972b336f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7E6F6-8984-4001-A261-90590AF18948}">
  <ds:schemaRefs>
    <ds:schemaRef ds:uri="http://schemas.microsoft.com/sharepoint/v3/contenttype/forms"/>
  </ds:schemaRefs>
</ds:datastoreItem>
</file>

<file path=customXml/itemProps3.xml><?xml version="1.0" encoding="utf-8"?>
<ds:datastoreItem xmlns:ds="http://schemas.openxmlformats.org/officeDocument/2006/customXml" ds:itemID="{B85251D8-6978-4C5D-B286-3E369439EA92}">
  <ds:schemaRefs>
    <ds:schemaRef ds:uri="http://purl.org/dc/elements/1.1/"/>
    <ds:schemaRef ds:uri="http://schemas.openxmlformats.org/package/2006/metadata/core-properties"/>
    <ds:schemaRef ds:uri="http://purl.org/dc/terms/"/>
    <ds:schemaRef ds:uri="http://schemas.microsoft.com/office/2006/metadata/properties"/>
    <ds:schemaRef ds:uri="93b222f5-be24-486e-aac9-28972b336fee"/>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1bc0f418-96a4-4caf-9d7c-ccc5ec7f9d91}" enabled="1" method="Privileged" siteId="{e0793d39-0939-496d-b129-198edd916feb}"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Individual Taxpayer Impact</vt:lpstr>
      <vt:lpstr>Graphs</vt:lpstr>
      <vt:lpstr>Property Tax Calc</vt:lpstr>
      <vt:lpstr>Prebate-Rebate</vt:lpstr>
      <vt:lpstr>Enrollment</vt:lpstr>
      <vt:lpstr>Amortization</vt:lpstr>
      <vt:lpstr>OldBuildCosts</vt:lpstr>
      <vt:lpstr>EdSpend</vt:lpstr>
      <vt:lpstr>Home Value</vt:lpstr>
      <vt:lpstr>BaseEnroll</vt:lpstr>
      <vt:lpstr>30 years</vt:lpstr>
      <vt:lpstr>40 mil 30yrs_VT Bond Bank</vt:lpstr>
      <vt:lpstr>40 mil 25yrs_VT Bond Bank</vt:lpstr>
      <vt:lpstr>40 mil 20yrs_VT Bond Bank</vt:lpstr>
      <vt:lpstr>25 years</vt:lpstr>
      <vt:lpstr>20 years</vt:lpstr>
      <vt:lpstr>Bond Examples by Amount</vt:lpstr>
      <vt:lpstr>Summary</vt:lpstr>
      <vt:lpstr> Cost per Eq Pupil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Seaman</dc:creator>
  <cp:lastModifiedBy>Accenture</cp:lastModifiedBy>
  <dcterms:created xsi:type="dcterms:W3CDTF">2019-07-08T20:49:18Z</dcterms:created>
  <dcterms:modified xsi:type="dcterms:W3CDTF">2024-02-09T01:34:56Z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0x010100B772C52E2C31AB47871CFE610ACF6254</vt:lpwstr>
  </property>
  <property fmtid="{D5CDD505-2E9C-101B-9397-08002B2CF9AE}" pid="3" name="MSIP_Label_1bc0f418-96a4-4caf-9d7c-ccc5ec7f9d91_Enabled">
    <vt:lpwstr>true</vt:lpwstr>
  </property>
  <property fmtid="{D5CDD505-2E9C-101B-9397-08002B2CF9AE}" pid="4" name="MSIP_Label_1bc0f418-96a4-4caf-9d7c-ccc5ec7f9d91_SetDate">
    <vt:lpwstr>2021-02-04T17:27:02Z</vt:lpwstr>
  </property>
  <property fmtid="{D5CDD505-2E9C-101B-9397-08002B2CF9AE}" pid="5" name="MSIP_Label_1bc0f418-96a4-4caf-9d7c-ccc5ec7f9d91_Method">
    <vt:lpwstr>Privileged</vt:lpwstr>
  </property>
  <property fmtid="{D5CDD505-2E9C-101B-9397-08002B2CF9AE}" pid="6" name="MSIP_Label_1bc0f418-96a4-4caf-9d7c-ccc5ec7f9d91_Name">
    <vt:lpwstr>1bc0f418-96a4-4caf-9d7c-ccc5ec7f9d91</vt:lpwstr>
  </property>
  <property fmtid="{D5CDD505-2E9C-101B-9397-08002B2CF9AE}" pid="7" name="MSIP_Label_1bc0f418-96a4-4caf-9d7c-ccc5ec7f9d91_SiteId">
    <vt:lpwstr>e0793d39-0939-496d-b129-198edd916feb</vt:lpwstr>
  </property>
  <property fmtid="{D5CDD505-2E9C-101B-9397-08002B2CF9AE}" pid="8" name="MSIP_Label_1bc0f418-96a4-4caf-9d7c-ccc5ec7f9d91_ActionId">
    <vt:lpwstr>3e78970b-5506-496f-b12e-a6dc8a76f965</vt:lpwstr>
  </property>
  <property fmtid="{D5CDD505-2E9C-101B-9397-08002B2CF9AE}" pid="9" name="MSIP_Label_1bc0f418-96a4-4caf-9d7c-ccc5ec7f9d91_ContentBits">
    <vt:lpwstr>0</vt:lpwstr>
  </property>
</Properties>
</file>